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30"/>
  <workbookPr/>
  <mc:AlternateContent xmlns:mc="http://schemas.openxmlformats.org/markup-compatibility/2006">
    <mc:Choice Requires="x15">
      <x15ac:absPath xmlns:x15ac="http://schemas.microsoft.com/office/spreadsheetml/2010/11/ac" url="C:\Users\rmoreno\Desktop\"/>
    </mc:Choice>
  </mc:AlternateContent>
  <xr:revisionPtr revIDLastSave="0" documentId="8_{914011FC-89CC-4321-B643-1AF26B632F31}" xr6:coauthVersionLast="46" xr6:coauthVersionMax="46" xr10:uidLastSave="{00000000-0000-0000-0000-000000000000}"/>
  <bookViews>
    <workbookView xWindow="-120" yWindow="-120" windowWidth="20730" windowHeight="11160" tabRatio="647" firstSheet="1" activeTab="1" xr2:uid="{00000000-000D-0000-FFFF-FFFF00000000}"/>
  </bookViews>
  <sheets>
    <sheet name="Datos Generales" sheetId="38" r:id="rId1"/>
    <sheet name="Anexo 1 Matriz Inf Gestión" sheetId="34" r:id="rId2"/>
    <sheet name="Hoja1" sheetId="41" state="hidden" r:id="rId3"/>
    <sheet name="Anexo 2 Protocolo Inf Gestión" sheetId="35" r:id="rId4"/>
    <sheet name="Informe Ingresos" sheetId="36" r:id="rId5"/>
    <sheet name="PROTOCOLO INGRESOS" sheetId="39" r:id="rId6"/>
    <sheet name="informe Gastos" sheetId="37" r:id="rId7"/>
    <sheet name="PROTOCOLO GASTOS" sheetId="40" r:id="rId8"/>
    <sheet name="Anexo 3 Matriz IMG" sheetId="19" r:id="rId9"/>
    <sheet name="1POMCAS" sheetId="1" r:id="rId10"/>
    <sheet name="2PORH" sheetId="2" r:id="rId11"/>
    <sheet name="3PSMV" sheetId="3" r:id="rId12"/>
    <sheet name="4UsoAguas" sheetId="4" r:id="rId13"/>
    <sheet name="5PUEAA" sheetId="5" r:id="rId14"/>
    <sheet name="6POMCASejec" sheetId="6" r:id="rId15"/>
    <sheet name="7Clima" sheetId="8" r:id="rId16"/>
    <sheet name="8Suelo" sheetId="9" r:id="rId17"/>
    <sheet name="9RUNAP" sheetId="10" r:id="rId18"/>
    <sheet name="10Paramos" sheetId="11" r:id="rId19"/>
    <sheet name="11Forest" sheetId="12" r:id="rId20"/>
    <sheet name="12PlanesAP" sheetId="13" r:id="rId21"/>
    <sheet name="13Amenaz" sheetId="14" r:id="rId22"/>
    <sheet name="14Invasor" sheetId="15" r:id="rId23"/>
    <sheet name="15Restaura" sheetId="16" r:id="rId24"/>
    <sheet name="16MIZC" sheetId="17" r:id="rId25"/>
    <sheet name="17PGIRS" sheetId="18" r:id="rId26"/>
    <sheet name="18Sector" sheetId="20" r:id="rId27"/>
    <sheet name="19GAU" sheetId="21" r:id="rId28"/>
    <sheet name="20Negoc" sheetId="22" r:id="rId29"/>
    <sheet name="21TiempoT" sheetId="23" r:id="rId30"/>
    <sheet name="22Autor" sheetId="24" r:id="rId31"/>
    <sheet name="23Sanc" sheetId="25" r:id="rId32"/>
    <sheet name="24POT" sheetId="26" r:id="rId33"/>
    <sheet name="25Redes" sheetId="27" r:id="rId34"/>
    <sheet name="26SIAC" sheetId="28" r:id="rId35"/>
    <sheet name="27Educa" sheetId="29" r:id="rId36"/>
    <sheet name="Observa" sheetId="32" r:id="rId37"/>
    <sheet name="Formulas" sheetId="33" r:id="rId38"/>
  </sheets>
  <externalReferences>
    <externalReference r:id="rId39"/>
    <externalReference r:id="rId40"/>
  </externalReferences>
  <definedNames>
    <definedName name="_xlnm._FilterDatabase" localSheetId="11" hidden="1">'3PSMV'!$E$6:$E$75</definedName>
    <definedName name="_xlnm._FilterDatabase" localSheetId="1" hidden="1">'Anexo 1 Matriz Inf Gestión'!$A$6:$V$481</definedName>
    <definedName name="_Toc467769469" localSheetId="10">'2PORH'!#REF!</definedName>
    <definedName name="_Toc467769470" localSheetId="11">'3PSMV'!#REF!</definedName>
    <definedName name="_Toc467769471" localSheetId="12">'4UsoAguas'!#REF!</definedName>
    <definedName name="_Toc467769472" localSheetId="13">'5PUEAA'!#REF!</definedName>
    <definedName name="_Toc467769473" localSheetId="14">'6POMCASejec'!#REF!</definedName>
    <definedName name="_Toc467769474" localSheetId="15">'7Clima'!#REF!</definedName>
    <definedName name="_Toc467769475" localSheetId="16">'8Suelo'!#REF!</definedName>
    <definedName name="_Toc467769476" localSheetId="17">'9RUNAP'!$B$6</definedName>
    <definedName name="_Toc467769477" localSheetId="18">'10Paramos'!#REF!</definedName>
    <definedName name="_Toc467769478" localSheetId="19">'11Forest'!#REF!</definedName>
    <definedName name="_Toc467769479" localSheetId="20">'12PlanesAP'!#REF!</definedName>
    <definedName name="_Toc467769480" localSheetId="21">'13Amenaz'!#REF!</definedName>
    <definedName name="_Toc467769481" localSheetId="22">'14Invasor'!#REF!</definedName>
    <definedName name="_Toc467769482" localSheetId="23">'15Restaura'!#REF!</definedName>
    <definedName name="_Toc467769483" localSheetId="24">'16MIZC'!#REF!</definedName>
    <definedName name="_Toc467769484" localSheetId="25">'17PGIRS'!#REF!</definedName>
    <definedName name="_Toc467769485" localSheetId="26">'18Sector'!#REF!</definedName>
    <definedName name="_Toc467769486" localSheetId="27">'19GAU'!#REF!</definedName>
    <definedName name="_Toc467769487" localSheetId="28">'20Negoc'!#REF!</definedName>
    <definedName name="_Toc467769488" localSheetId="29">'21TiempoT'!#REF!</definedName>
    <definedName name="_Toc467769489" localSheetId="30">'22Autor'!#REF!</definedName>
    <definedName name="_Toc467769490" localSheetId="31">'23Sanc'!#REF!</definedName>
    <definedName name="_Toc467769491" localSheetId="32">'24POT'!#REF!</definedName>
    <definedName name="_Toc467769492" localSheetId="33">'25Redes'!#REF!</definedName>
    <definedName name="_Toc467769493" localSheetId="34">'26SIAC'!#REF!</definedName>
    <definedName name="_Toc467769494" localSheetId="35">'27Educa'!#REF!</definedName>
    <definedName name="_xlnm.Print_Area" localSheetId="1">'Anexo 1 Matriz Inf Gestión'!$A$3:$S$481</definedName>
    <definedName name="_xlnm.Print_Area" localSheetId="3">'Anexo 2 Protocolo Inf Gestión'!$A$1:$B$23</definedName>
    <definedName name="_xlnm.Print_Area" localSheetId="6">'informe Gastos'!#REF!</definedName>
    <definedName name="_xlnm.Print_Area" localSheetId="4">'Informe Ingresos'!#REF!</definedName>
    <definedName name="Lista_CAR">'Datos Generales'!$H$5:$H$36</definedName>
    <definedName name="REPORTE" comment="SI SE REPORTA">Formulas!$F$33:$F$34</definedName>
    <definedName name="SI" comment="OPCION SI O NO">Formulas!$D$33:$D$34</definedName>
    <definedName name="Vigencias">'Datos Generales'!$H$38:$H$45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02" i="36" l="1"/>
  <c r="T301" i="36"/>
  <c r="S301" i="36"/>
  <c r="R301" i="36"/>
  <c r="Q301" i="36"/>
  <c r="P301" i="36"/>
  <c r="O301" i="36"/>
  <c r="M301" i="36"/>
  <c r="L301" i="36"/>
  <c r="K301" i="36"/>
  <c r="N300" i="36"/>
  <c r="N299" i="36"/>
  <c r="N298" i="36"/>
  <c r="T297" i="36"/>
  <c r="S297" i="36"/>
  <c r="S296" i="36" s="1"/>
  <c r="R297" i="36"/>
  <c r="R296" i="36" s="1"/>
  <c r="Q297" i="36"/>
  <c r="Q296" i="36" s="1"/>
  <c r="P297" i="36"/>
  <c r="O297" i="36"/>
  <c r="M297" i="36"/>
  <c r="L297" i="36"/>
  <c r="K297" i="36"/>
  <c r="N297" i="36" s="1"/>
  <c r="T296" i="36"/>
  <c r="P296" i="36"/>
  <c r="O296" i="36"/>
  <c r="M296" i="36"/>
  <c r="L296" i="36"/>
  <c r="K296" i="36"/>
  <c r="N296" i="36" s="1"/>
  <c r="N295" i="36"/>
  <c r="N294" i="36"/>
  <c r="N293" i="36"/>
  <c r="N292" i="36"/>
  <c r="N291" i="36"/>
  <c r="N290" i="36"/>
  <c r="N289" i="36"/>
  <c r="N288" i="36"/>
  <c r="N287" i="36"/>
  <c r="T286" i="36"/>
  <c r="S286" i="36"/>
  <c r="R286" i="36"/>
  <c r="Q286" i="36"/>
  <c r="P286" i="36"/>
  <c r="O286" i="36"/>
  <c r="M286" i="36"/>
  <c r="L286" i="36"/>
  <c r="K286" i="36"/>
  <c r="N286" i="36" s="1"/>
  <c r="N285" i="36"/>
  <c r="N284" i="36"/>
  <c r="T283" i="36"/>
  <c r="S283" i="36"/>
  <c r="R283" i="36"/>
  <c r="R282" i="36" s="1"/>
  <c r="Q283" i="36"/>
  <c r="P283" i="36"/>
  <c r="O283" i="36"/>
  <c r="O282" i="36" s="1"/>
  <c r="M283" i="36"/>
  <c r="M282" i="36" s="1"/>
  <c r="L283" i="36"/>
  <c r="K283" i="36"/>
  <c r="T282" i="36"/>
  <c r="P282" i="36"/>
  <c r="L282" i="36"/>
  <c r="N281" i="36"/>
  <c r="N280" i="36"/>
  <c r="N279" i="36"/>
  <c r="N278" i="36"/>
  <c r="N277" i="36"/>
  <c r="N276" i="36"/>
  <c r="N275" i="36"/>
  <c r="T274" i="36"/>
  <c r="S274" i="36"/>
  <c r="R274" i="36"/>
  <c r="Q274" i="36"/>
  <c r="P274" i="36"/>
  <c r="O274" i="36"/>
  <c r="M274" i="36"/>
  <c r="L274" i="36"/>
  <c r="K274" i="36"/>
  <c r="N273" i="36"/>
  <c r="N272" i="36"/>
  <c r="T271" i="36"/>
  <c r="S271" i="36"/>
  <c r="R271" i="36"/>
  <c r="R270" i="36" s="1"/>
  <c r="Q271" i="36"/>
  <c r="Q270" i="36" s="1"/>
  <c r="P271" i="36"/>
  <c r="O271" i="36"/>
  <c r="M271" i="36"/>
  <c r="L271" i="36"/>
  <c r="K271" i="36"/>
  <c r="N271" i="36" s="1"/>
  <c r="T270" i="36"/>
  <c r="S270" i="36"/>
  <c r="P270" i="36"/>
  <c r="O270" i="36"/>
  <c r="L270" i="36"/>
  <c r="K270" i="36"/>
  <c r="N269" i="36"/>
  <c r="N268" i="36"/>
  <c r="N267" i="36"/>
  <c r="N266" i="36"/>
  <c r="N265" i="36"/>
  <c r="N264" i="36"/>
  <c r="N263" i="36"/>
  <c r="T262" i="36"/>
  <c r="S262" i="36"/>
  <c r="R262" i="36"/>
  <c r="Q262" i="36"/>
  <c r="P262" i="36"/>
  <c r="O262" i="36"/>
  <c r="M262" i="36"/>
  <c r="L262" i="36"/>
  <c r="K262" i="36"/>
  <c r="N261" i="36"/>
  <c r="N260" i="36"/>
  <c r="T259" i="36"/>
  <c r="T258" i="36" s="1"/>
  <c r="T257" i="36" s="1"/>
  <c r="S259" i="36"/>
  <c r="R259" i="36"/>
  <c r="Q259" i="36"/>
  <c r="Q258" i="36" s="1"/>
  <c r="P259" i="36"/>
  <c r="O259" i="36"/>
  <c r="M259" i="36"/>
  <c r="L259" i="36"/>
  <c r="K259" i="36"/>
  <c r="S258" i="36"/>
  <c r="R258" i="36"/>
  <c r="R257" i="36" s="1"/>
  <c r="O258" i="36"/>
  <c r="O257" i="36" s="1"/>
  <c r="K258" i="36"/>
  <c r="N256" i="36"/>
  <c r="N255" i="36"/>
  <c r="N254" i="36"/>
  <c r="N253" i="36"/>
  <c r="N252" i="36"/>
  <c r="N251" i="36"/>
  <c r="N250" i="36"/>
  <c r="N249" i="36"/>
  <c r="T248" i="36"/>
  <c r="S248" i="36"/>
  <c r="R248" i="36"/>
  <c r="Q248" i="36"/>
  <c r="P248" i="36"/>
  <c r="O248" i="36"/>
  <c r="M248" i="36"/>
  <c r="L248" i="36"/>
  <c r="K248" i="36"/>
  <c r="N248" i="36" s="1"/>
  <c r="N247" i="36"/>
  <c r="N246" i="36"/>
  <c r="T245" i="36"/>
  <c r="S245" i="36"/>
  <c r="S244" i="36" s="1"/>
  <c r="R245" i="36"/>
  <c r="R244" i="36" s="1"/>
  <c r="Q245" i="36"/>
  <c r="P245" i="36"/>
  <c r="O245" i="36"/>
  <c r="M245" i="36"/>
  <c r="L245" i="36"/>
  <c r="K245" i="36"/>
  <c r="T244" i="36"/>
  <c r="Q244" i="36"/>
  <c r="P244" i="36"/>
  <c r="M244" i="36"/>
  <c r="L244" i="36"/>
  <c r="N243" i="36"/>
  <c r="N242" i="36"/>
  <c r="T241" i="36"/>
  <c r="S241" i="36"/>
  <c r="R241" i="36"/>
  <c r="Q241" i="36"/>
  <c r="P241" i="36"/>
  <c r="O241" i="36"/>
  <c r="M241" i="36"/>
  <c r="L241" i="36"/>
  <c r="K241" i="36"/>
  <c r="N240" i="36"/>
  <c r="N239" i="36"/>
  <c r="N238" i="36"/>
  <c r="T237" i="36"/>
  <c r="S237" i="36"/>
  <c r="R237" i="36"/>
  <c r="R236" i="36" s="1"/>
  <c r="Q237" i="36"/>
  <c r="Q236" i="36" s="1"/>
  <c r="P237" i="36"/>
  <c r="O237" i="36"/>
  <c r="M237" i="36"/>
  <c r="M236" i="36" s="1"/>
  <c r="L237" i="36"/>
  <c r="K237" i="36"/>
  <c r="T236" i="36"/>
  <c r="S236" i="36"/>
  <c r="P236" i="36"/>
  <c r="O236" i="36"/>
  <c r="L236" i="36"/>
  <c r="K236" i="36"/>
  <c r="N236" i="36" s="1"/>
  <c r="N235" i="36"/>
  <c r="N234" i="36"/>
  <c r="N233" i="36"/>
  <c r="T232" i="36"/>
  <c r="S232" i="36"/>
  <c r="R232" i="36"/>
  <c r="Q232" i="36"/>
  <c r="P232" i="36"/>
  <c r="O232" i="36"/>
  <c r="M232" i="36"/>
  <c r="L232" i="36"/>
  <c r="K232" i="36"/>
  <c r="N231" i="36"/>
  <c r="N230" i="36"/>
  <c r="N229" i="36"/>
  <c r="N228" i="36"/>
  <c r="N227" i="36"/>
  <c r="N226" i="36"/>
  <c r="N225" i="36"/>
  <c r="N224" i="36"/>
  <c r="T223" i="36"/>
  <c r="S223" i="36"/>
  <c r="R223" i="36"/>
  <c r="Q223" i="36"/>
  <c r="P223" i="36"/>
  <c r="O223" i="36"/>
  <c r="M223" i="36"/>
  <c r="L223" i="36"/>
  <c r="K223" i="36"/>
  <c r="N223" i="36" s="1"/>
  <c r="N222" i="36"/>
  <c r="N221" i="36"/>
  <c r="N220" i="36"/>
  <c r="T219" i="36"/>
  <c r="S219" i="36"/>
  <c r="R219" i="36"/>
  <c r="Q219" i="36"/>
  <c r="P219" i="36"/>
  <c r="O219" i="36"/>
  <c r="M219" i="36"/>
  <c r="L219" i="36"/>
  <c r="K219" i="36"/>
  <c r="N219" i="36" s="1"/>
  <c r="L218" i="36"/>
  <c r="N218" i="36" s="1"/>
  <c r="U218" i="36" s="1"/>
  <c r="N217" i="36"/>
  <c r="N216" i="36"/>
  <c r="T215" i="36"/>
  <c r="S215" i="36"/>
  <c r="S214" i="36" s="1"/>
  <c r="R215" i="36"/>
  <c r="Q215" i="36"/>
  <c r="P215" i="36"/>
  <c r="O215" i="36"/>
  <c r="M215" i="36"/>
  <c r="L215" i="36"/>
  <c r="L214" i="36" s="1"/>
  <c r="K215" i="36"/>
  <c r="R214" i="36"/>
  <c r="N213" i="36"/>
  <c r="N212" i="36"/>
  <c r="N211" i="36"/>
  <c r="N210" i="36"/>
  <c r="N209" i="36"/>
  <c r="T208" i="36"/>
  <c r="S208" i="36"/>
  <c r="R208" i="36"/>
  <c r="R207" i="36" s="1"/>
  <c r="Q208" i="36"/>
  <c r="Q207" i="36" s="1"/>
  <c r="P208" i="36"/>
  <c r="O208" i="36"/>
  <c r="M208" i="36"/>
  <c r="M207" i="36" s="1"/>
  <c r="L208" i="36"/>
  <c r="K208" i="36"/>
  <c r="T207" i="36"/>
  <c r="S207" i="36"/>
  <c r="P207" i="36"/>
  <c r="O207" i="36"/>
  <c r="L207" i="36"/>
  <c r="K207" i="36"/>
  <c r="N207" i="36" s="1"/>
  <c r="N206" i="36"/>
  <c r="N205" i="36"/>
  <c r="N204" i="36"/>
  <c r="N203" i="36"/>
  <c r="N202" i="36"/>
  <c r="N201" i="36"/>
  <c r="T200" i="36"/>
  <c r="S200" i="36"/>
  <c r="R200" i="36"/>
  <c r="Q200" i="36"/>
  <c r="P200" i="36"/>
  <c r="O200" i="36"/>
  <c r="M200" i="36"/>
  <c r="L200" i="36"/>
  <c r="K200" i="36"/>
  <c r="N200" i="36" s="1"/>
  <c r="N199" i="36"/>
  <c r="N198" i="36"/>
  <c r="T197" i="36"/>
  <c r="T196" i="36" s="1"/>
  <c r="T195" i="36" s="1"/>
  <c r="S197" i="36"/>
  <c r="R197" i="36"/>
  <c r="Q197" i="36"/>
  <c r="P197" i="36"/>
  <c r="O197" i="36"/>
  <c r="M197" i="36"/>
  <c r="L197" i="36"/>
  <c r="L196" i="36" s="1"/>
  <c r="L195" i="36" s="1"/>
  <c r="K197" i="36"/>
  <c r="R196" i="36"/>
  <c r="R195" i="36" s="1"/>
  <c r="Q196" i="36"/>
  <c r="Q195" i="36" s="1"/>
  <c r="M196" i="36"/>
  <c r="N194" i="36"/>
  <c r="N193" i="36"/>
  <c r="N192" i="36"/>
  <c r="N191" i="36"/>
  <c r="T190" i="36"/>
  <c r="S190" i="36"/>
  <c r="R190" i="36"/>
  <c r="R189" i="36" s="1"/>
  <c r="Q190" i="36"/>
  <c r="Q189" i="36" s="1"/>
  <c r="P190" i="36"/>
  <c r="O190" i="36"/>
  <c r="M190" i="36"/>
  <c r="M189" i="36" s="1"/>
  <c r="L190" i="36"/>
  <c r="K190" i="36"/>
  <c r="N190" i="36" s="1"/>
  <c r="T189" i="36"/>
  <c r="S189" i="36"/>
  <c r="P189" i="36"/>
  <c r="O189" i="36"/>
  <c r="L189" i="36"/>
  <c r="K189" i="36"/>
  <c r="N189" i="36" s="1"/>
  <c r="N188" i="36"/>
  <c r="N187" i="36"/>
  <c r="N186" i="36"/>
  <c r="N185" i="36"/>
  <c r="N184" i="36"/>
  <c r="N183" i="36"/>
  <c r="N182" i="36"/>
  <c r="N181" i="36"/>
  <c r="N180" i="36"/>
  <c r="N179" i="36"/>
  <c r="N178" i="36"/>
  <c r="N177" i="36"/>
  <c r="N176" i="36"/>
  <c r="N175" i="36"/>
  <c r="N174" i="36"/>
  <c r="N173" i="36"/>
  <c r="T172" i="36"/>
  <c r="S172" i="36"/>
  <c r="R172" i="36"/>
  <c r="R171" i="36" s="1"/>
  <c r="Q172" i="36"/>
  <c r="Q171" i="36" s="1"/>
  <c r="P172" i="36"/>
  <c r="O172" i="36"/>
  <c r="M172" i="36"/>
  <c r="M171" i="36" s="1"/>
  <c r="L172" i="36"/>
  <c r="K172" i="36"/>
  <c r="N172" i="36" s="1"/>
  <c r="T171" i="36"/>
  <c r="S171" i="36"/>
  <c r="P171" i="36"/>
  <c r="O171" i="36"/>
  <c r="L171" i="36"/>
  <c r="K171" i="36"/>
  <c r="N170" i="36"/>
  <c r="T169" i="36"/>
  <c r="S169" i="36"/>
  <c r="R169" i="36"/>
  <c r="Q169" i="36"/>
  <c r="P169" i="36"/>
  <c r="O169" i="36"/>
  <c r="M169" i="36"/>
  <c r="L169" i="36"/>
  <c r="K169" i="36"/>
  <c r="N169" i="36" s="1"/>
  <c r="N168" i="36"/>
  <c r="N167" i="36"/>
  <c r="N166" i="36"/>
  <c r="N165" i="36"/>
  <c r="N164" i="36"/>
  <c r="N163" i="36"/>
  <c r="N162" i="36"/>
  <c r="N161" i="36"/>
  <c r="N160" i="36"/>
  <c r="T159" i="36"/>
  <c r="T155" i="36" s="1"/>
  <c r="T154" i="36" s="1"/>
  <c r="S159" i="36"/>
  <c r="R159" i="36"/>
  <c r="Q159" i="36"/>
  <c r="P159" i="36"/>
  <c r="O159" i="36"/>
  <c r="O155" i="36" s="1"/>
  <c r="O154" i="36" s="1"/>
  <c r="O152" i="36" s="1"/>
  <c r="M159" i="36"/>
  <c r="L159" i="36"/>
  <c r="L155" i="36" s="1"/>
  <c r="L154" i="36" s="1"/>
  <c r="L152" i="36" s="1"/>
  <c r="K159" i="36"/>
  <c r="N158" i="36"/>
  <c r="N157" i="36"/>
  <c r="N156" i="36"/>
  <c r="Q155" i="36"/>
  <c r="P155" i="36"/>
  <c r="P154" i="36" s="1"/>
  <c r="P152" i="36" s="1"/>
  <c r="M155" i="36"/>
  <c r="M154" i="36" s="1"/>
  <c r="M152" i="36" s="1"/>
  <c r="N153" i="36"/>
  <c r="N151" i="36"/>
  <c r="T150" i="36"/>
  <c r="S150" i="36"/>
  <c r="R150" i="36"/>
  <c r="Q150" i="36"/>
  <c r="P150" i="36"/>
  <c r="O150" i="36"/>
  <c r="M150" i="36"/>
  <c r="L150" i="36"/>
  <c r="K150" i="36"/>
  <c r="N150" i="36" s="1"/>
  <c r="N149" i="36"/>
  <c r="T148" i="36"/>
  <c r="T145" i="36" s="1"/>
  <c r="S148" i="36"/>
  <c r="R148" i="36"/>
  <c r="Q148" i="36"/>
  <c r="Q145" i="36" s="1"/>
  <c r="Q144" i="36" s="1"/>
  <c r="Q143" i="36" s="1"/>
  <c r="P148" i="36"/>
  <c r="O148" i="36"/>
  <c r="O145" i="36" s="1"/>
  <c r="O144" i="36" s="1"/>
  <c r="O143" i="36" s="1"/>
  <c r="M148" i="36"/>
  <c r="L148" i="36"/>
  <c r="L145" i="36" s="1"/>
  <c r="K148" i="36"/>
  <c r="N147" i="36"/>
  <c r="N146" i="36"/>
  <c r="S145" i="36"/>
  <c r="R145" i="36"/>
  <c r="R144" i="36" s="1"/>
  <c r="R143" i="36" s="1"/>
  <c r="P145" i="36"/>
  <c r="K145" i="36"/>
  <c r="T144" i="36"/>
  <c r="T143" i="36" s="1"/>
  <c r="S144" i="36"/>
  <c r="S143" i="36" s="1"/>
  <c r="P144" i="36"/>
  <c r="P143" i="36" s="1"/>
  <c r="N141" i="36"/>
  <c r="N140" i="36"/>
  <c r="N139" i="36"/>
  <c r="T138" i="36"/>
  <c r="S138" i="36"/>
  <c r="R138" i="36"/>
  <c r="Q138" i="36"/>
  <c r="P138" i="36"/>
  <c r="O138" i="36"/>
  <c r="N138" i="36"/>
  <c r="M138" i="36"/>
  <c r="L138" i="36"/>
  <c r="K138" i="36"/>
  <c r="N137" i="36"/>
  <c r="N136" i="36"/>
  <c r="N135" i="36"/>
  <c r="N134" i="36"/>
  <c r="N133" i="36"/>
  <c r="N132" i="36"/>
  <c r="T131" i="36"/>
  <c r="S131" i="36"/>
  <c r="R131" i="36"/>
  <c r="Q131" i="36"/>
  <c r="P131" i="36"/>
  <c r="O131" i="36"/>
  <c r="M131" i="36"/>
  <c r="L131" i="36"/>
  <c r="K131" i="36"/>
  <c r="N131" i="36" s="1"/>
  <c r="N130" i="36"/>
  <c r="O130" i="36" s="1"/>
  <c r="N129" i="36"/>
  <c r="N128" i="36"/>
  <c r="T127" i="36"/>
  <c r="S127" i="36"/>
  <c r="R127" i="36"/>
  <c r="R126" i="36" s="1"/>
  <c r="Q127" i="36"/>
  <c r="P127" i="36"/>
  <c r="P126" i="36" s="1"/>
  <c r="M127" i="36"/>
  <c r="L127" i="36"/>
  <c r="L126" i="36" s="1"/>
  <c r="K127" i="36"/>
  <c r="S126" i="36"/>
  <c r="M126" i="36"/>
  <c r="N125" i="36"/>
  <c r="N124" i="36"/>
  <c r="T123" i="36"/>
  <c r="S123" i="36"/>
  <c r="R123" i="36"/>
  <c r="Q123" i="36"/>
  <c r="P123" i="36"/>
  <c r="O123" i="36"/>
  <c r="M123" i="36"/>
  <c r="L123" i="36"/>
  <c r="K123" i="36"/>
  <c r="N122" i="36"/>
  <c r="N121" i="36"/>
  <c r="T120" i="36"/>
  <c r="S120" i="36"/>
  <c r="R120" i="36"/>
  <c r="Q120" i="36"/>
  <c r="P120" i="36"/>
  <c r="O120" i="36"/>
  <c r="M120" i="36"/>
  <c r="L120" i="36"/>
  <c r="K120" i="36"/>
  <c r="N119" i="36"/>
  <c r="N118" i="36"/>
  <c r="T117" i="36"/>
  <c r="S117" i="36"/>
  <c r="R117" i="36"/>
  <c r="Q117" i="36"/>
  <c r="P117" i="36"/>
  <c r="O117" i="36"/>
  <c r="M117" i="36"/>
  <c r="L117" i="36"/>
  <c r="K117" i="36"/>
  <c r="N116" i="36"/>
  <c r="N115" i="36"/>
  <c r="T114" i="36"/>
  <c r="S114" i="36"/>
  <c r="R114" i="36"/>
  <c r="Q114" i="36"/>
  <c r="P114" i="36"/>
  <c r="O114" i="36"/>
  <c r="M114" i="36"/>
  <c r="L114" i="36"/>
  <c r="K114" i="36"/>
  <c r="P113" i="36"/>
  <c r="P112" i="36" s="1"/>
  <c r="P111" i="36" s="1"/>
  <c r="L113" i="36"/>
  <c r="L112" i="36"/>
  <c r="L111" i="36"/>
  <c r="N110" i="36"/>
  <c r="N109" i="36"/>
  <c r="T108" i="36"/>
  <c r="S108" i="36"/>
  <c r="R108" i="36"/>
  <c r="Q108" i="36"/>
  <c r="P108" i="36"/>
  <c r="O108" i="36"/>
  <c r="M108" i="36"/>
  <c r="L108" i="36"/>
  <c r="K108" i="36"/>
  <c r="N108" i="36" s="1"/>
  <c r="N107" i="36"/>
  <c r="N106" i="36"/>
  <c r="T105" i="36"/>
  <c r="S105" i="36"/>
  <c r="R105" i="36"/>
  <c r="Q105" i="36"/>
  <c r="P105" i="36"/>
  <c r="O105" i="36"/>
  <c r="M105" i="36"/>
  <c r="L105" i="36"/>
  <c r="K105" i="36"/>
  <c r="N105" i="36" s="1"/>
  <c r="N104" i="36"/>
  <c r="N103" i="36"/>
  <c r="T102" i="36"/>
  <c r="S102" i="36"/>
  <c r="R102" i="36"/>
  <c r="Q102" i="36"/>
  <c r="P102" i="36"/>
  <c r="O102" i="36"/>
  <c r="M102" i="36"/>
  <c r="L102" i="36"/>
  <c r="K102" i="36"/>
  <c r="N102" i="36" s="1"/>
  <c r="N101" i="36"/>
  <c r="N100" i="36"/>
  <c r="T99" i="36"/>
  <c r="T98" i="36" s="1"/>
  <c r="S99" i="36"/>
  <c r="S98" i="36" s="1"/>
  <c r="R99" i="36"/>
  <c r="Q99" i="36"/>
  <c r="P99" i="36"/>
  <c r="O99" i="36"/>
  <c r="O98" i="36" s="1"/>
  <c r="M99" i="36"/>
  <c r="L99" i="36"/>
  <c r="L98" i="36" s="1"/>
  <c r="K99" i="36"/>
  <c r="Q98" i="36"/>
  <c r="M98" i="36"/>
  <c r="N97" i="36"/>
  <c r="N96" i="36"/>
  <c r="T95" i="36"/>
  <c r="S95" i="36"/>
  <c r="R95" i="36"/>
  <c r="Q95" i="36"/>
  <c r="P95" i="36"/>
  <c r="O95" i="36"/>
  <c r="M95" i="36"/>
  <c r="L95" i="36"/>
  <c r="K95" i="36"/>
  <c r="N94" i="36"/>
  <c r="N93" i="36"/>
  <c r="T92" i="36"/>
  <c r="S92" i="36"/>
  <c r="R92" i="36"/>
  <c r="Q92" i="36"/>
  <c r="P92" i="36"/>
  <c r="O92" i="36"/>
  <c r="M92" i="36"/>
  <c r="L92" i="36"/>
  <c r="K92" i="36"/>
  <c r="N91" i="36"/>
  <c r="N90" i="36"/>
  <c r="T89" i="36"/>
  <c r="S89" i="36"/>
  <c r="R89" i="36"/>
  <c r="R88" i="36" s="1"/>
  <c r="R87" i="36" s="1"/>
  <c r="R86" i="36" s="1"/>
  <c r="Q89" i="36"/>
  <c r="P89" i="36"/>
  <c r="O89" i="36"/>
  <c r="M89" i="36"/>
  <c r="M88" i="36" s="1"/>
  <c r="M87" i="36" s="1"/>
  <c r="M86" i="36" s="1"/>
  <c r="M85" i="36" s="1"/>
  <c r="L89" i="36"/>
  <c r="K89" i="36"/>
  <c r="T88" i="36"/>
  <c r="T87" i="36" s="1"/>
  <c r="T86" i="36" s="1"/>
  <c r="T85" i="36" s="1"/>
  <c r="S88" i="36"/>
  <c r="S87" i="36" s="1"/>
  <c r="O88" i="36"/>
  <c r="O87" i="36" s="1"/>
  <c r="K88" i="36"/>
  <c r="K87" i="36" s="1"/>
  <c r="S86" i="36"/>
  <c r="S85" i="36" s="1"/>
  <c r="O86" i="36"/>
  <c r="O85" i="36" s="1"/>
  <c r="N84" i="36"/>
  <c r="N83" i="36"/>
  <c r="T82" i="36"/>
  <c r="S82" i="36"/>
  <c r="R82" i="36"/>
  <c r="Q82" i="36"/>
  <c r="P82" i="36"/>
  <c r="O82" i="36"/>
  <c r="M82" i="36"/>
  <c r="L82" i="36"/>
  <c r="K82" i="36"/>
  <c r="N81" i="36"/>
  <c r="N80" i="36"/>
  <c r="T79" i="36"/>
  <c r="S79" i="36"/>
  <c r="R79" i="36"/>
  <c r="R78" i="36" s="1"/>
  <c r="R77" i="36" s="1"/>
  <c r="P79" i="36"/>
  <c r="P78" i="36" s="1"/>
  <c r="P77" i="36" s="1"/>
  <c r="M79" i="36"/>
  <c r="L79" i="36"/>
  <c r="L78" i="36" s="1"/>
  <c r="L77" i="36" s="1"/>
  <c r="K79" i="36"/>
  <c r="T78" i="36"/>
  <c r="S78" i="36"/>
  <c r="K78" i="36"/>
  <c r="T77" i="36"/>
  <c r="S77" i="36"/>
  <c r="K77" i="36"/>
  <c r="N76" i="36"/>
  <c r="N75" i="36"/>
  <c r="T74" i="36"/>
  <c r="S74" i="36"/>
  <c r="R74" i="36"/>
  <c r="P74" i="36"/>
  <c r="M74" i="36"/>
  <c r="L74" i="36"/>
  <c r="K74" i="36"/>
  <c r="N74" i="36" s="1"/>
  <c r="N73" i="36"/>
  <c r="N72" i="36"/>
  <c r="T71" i="36"/>
  <c r="S71" i="36"/>
  <c r="R71" i="36"/>
  <c r="Q71" i="36"/>
  <c r="P71" i="36"/>
  <c r="O71" i="36"/>
  <c r="M71" i="36"/>
  <c r="L71" i="36"/>
  <c r="K71" i="36"/>
  <c r="N71" i="36" s="1"/>
  <c r="N70" i="36"/>
  <c r="N69" i="36"/>
  <c r="T68" i="36"/>
  <c r="S68" i="36"/>
  <c r="R68" i="36"/>
  <c r="Q68" i="36"/>
  <c r="P68" i="36"/>
  <c r="O68" i="36"/>
  <c r="M68" i="36"/>
  <c r="L68" i="36"/>
  <c r="K68" i="36"/>
  <c r="N68" i="36" s="1"/>
  <c r="N67" i="36"/>
  <c r="N66" i="36"/>
  <c r="T65" i="36"/>
  <c r="S65" i="36"/>
  <c r="R65" i="36"/>
  <c r="Q65" i="36"/>
  <c r="P65" i="36"/>
  <c r="O65" i="36"/>
  <c r="M65" i="36"/>
  <c r="L65" i="36"/>
  <c r="K65" i="36"/>
  <c r="N65" i="36" s="1"/>
  <c r="N64" i="36"/>
  <c r="N63" i="36"/>
  <c r="T62" i="36"/>
  <c r="S62" i="36"/>
  <c r="R62" i="36"/>
  <c r="Q62" i="36"/>
  <c r="P62" i="36"/>
  <c r="O62" i="36"/>
  <c r="M62" i="36"/>
  <c r="L62" i="36"/>
  <c r="K62" i="36"/>
  <c r="N61" i="36"/>
  <c r="N60" i="36"/>
  <c r="Q60" i="36" s="1"/>
  <c r="Q59" i="36" s="1"/>
  <c r="T59" i="36"/>
  <c r="S59" i="36"/>
  <c r="R59" i="36"/>
  <c r="P59" i="36"/>
  <c r="M59" i="36"/>
  <c r="L59" i="36"/>
  <c r="K59" i="36"/>
  <c r="N58" i="36"/>
  <c r="N57" i="36"/>
  <c r="T56" i="36"/>
  <c r="S56" i="36"/>
  <c r="R56" i="36"/>
  <c r="Q56" i="36"/>
  <c r="P56" i="36"/>
  <c r="O56" i="36"/>
  <c r="M56" i="36"/>
  <c r="L56" i="36"/>
  <c r="K56" i="36"/>
  <c r="N56" i="36" s="1"/>
  <c r="N55" i="36"/>
  <c r="N54" i="36"/>
  <c r="T53" i="36"/>
  <c r="S53" i="36"/>
  <c r="R53" i="36"/>
  <c r="P53" i="36"/>
  <c r="M53" i="36"/>
  <c r="L53" i="36"/>
  <c r="K53" i="36"/>
  <c r="S52" i="36"/>
  <c r="R52" i="36"/>
  <c r="P52" i="36"/>
  <c r="N51" i="36"/>
  <c r="N50" i="36"/>
  <c r="T49" i="36"/>
  <c r="S49" i="36"/>
  <c r="R49" i="36"/>
  <c r="Q49" i="36"/>
  <c r="P49" i="36"/>
  <c r="O49" i="36"/>
  <c r="M49" i="36"/>
  <c r="L49" i="36"/>
  <c r="K49" i="36"/>
  <c r="N49" i="36" s="1"/>
  <c r="N48" i="36"/>
  <c r="N47" i="36"/>
  <c r="T46" i="36"/>
  <c r="S46" i="36"/>
  <c r="R46" i="36"/>
  <c r="Q46" i="36"/>
  <c r="P46" i="36"/>
  <c r="O46" i="36"/>
  <c r="M46" i="36"/>
  <c r="L46" i="36"/>
  <c r="K46" i="36"/>
  <c r="N46" i="36" s="1"/>
  <c r="N45" i="36"/>
  <c r="N44" i="36"/>
  <c r="U44" i="36" s="1"/>
  <c r="T43" i="36"/>
  <c r="S43" i="36"/>
  <c r="R43" i="36"/>
  <c r="Q43" i="36"/>
  <c r="P43" i="36"/>
  <c r="O43" i="36"/>
  <c r="M43" i="36"/>
  <c r="L43" i="36"/>
  <c r="K43" i="36"/>
  <c r="N43" i="36" s="1"/>
  <c r="U43" i="36" s="1"/>
  <c r="N42" i="36"/>
  <c r="N41" i="36"/>
  <c r="T40" i="36"/>
  <c r="S40" i="36"/>
  <c r="R40" i="36"/>
  <c r="O40" i="36"/>
  <c r="M40" i="36"/>
  <c r="L40" i="36"/>
  <c r="K40" i="36"/>
  <c r="N39" i="36"/>
  <c r="U39" i="36" s="1"/>
  <c r="N38" i="36"/>
  <c r="T37" i="36"/>
  <c r="S37" i="36"/>
  <c r="S36" i="36" s="1"/>
  <c r="S35" i="36" s="1"/>
  <c r="S34" i="36" s="1"/>
  <c r="R37" i="36"/>
  <c r="O37" i="36"/>
  <c r="O36" i="36" s="1"/>
  <c r="O35" i="36" s="1"/>
  <c r="M37" i="36"/>
  <c r="L37" i="36"/>
  <c r="K37" i="36"/>
  <c r="N33" i="36"/>
  <c r="N32" i="36"/>
  <c r="T31" i="36"/>
  <c r="S31" i="36"/>
  <c r="R31" i="36"/>
  <c r="Q31" i="36"/>
  <c r="P31" i="36"/>
  <c r="O31" i="36"/>
  <c r="M31" i="36"/>
  <c r="L31" i="36"/>
  <c r="K31" i="36"/>
  <c r="N31" i="36" s="1"/>
  <c r="N30" i="36"/>
  <c r="N29" i="36"/>
  <c r="T28" i="36"/>
  <c r="S28" i="36"/>
  <c r="R28" i="36"/>
  <c r="Q28" i="36"/>
  <c r="P28" i="36"/>
  <c r="O28" i="36"/>
  <c r="M28" i="36"/>
  <c r="L28" i="36"/>
  <c r="K28" i="36"/>
  <c r="N27" i="36"/>
  <c r="U27" i="36" s="1"/>
  <c r="N26" i="36"/>
  <c r="T25" i="36"/>
  <c r="S25" i="36"/>
  <c r="R25" i="36"/>
  <c r="M25" i="36"/>
  <c r="L25" i="36"/>
  <c r="K25" i="36"/>
  <c r="N24" i="36"/>
  <c r="N23" i="36"/>
  <c r="T22" i="36"/>
  <c r="T21" i="36" s="1"/>
  <c r="S22" i="36"/>
  <c r="R22" i="36"/>
  <c r="R21" i="36" s="1"/>
  <c r="R20" i="36" s="1"/>
  <c r="R19" i="36" s="1"/>
  <c r="Q22" i="36"/>
  <c r="P22" i="36"/>
  <c r="O22" i="36"/>
  <c r="M22" i="36"/>
  <c r="M21" i="36" s="1"/>
  <c r="M20" i="36" s="1"/>
  <c r="M19" i="36" s="1"/>
  <c r="L22" i="36"/>
  <c r="L21" i="36" s="1"/>
  <c r="L20" i="36" s="1"/>
  <c r="L19" i="36" s="1"/>
  <c r="K22" i="36"/>
  <c r="N17" i="36"/>
  <c r="N16" i="36"/>
  <c r="T15" i="36"/>
  <c r="S15" i="36"/>
  <c r="R15" i="36"/>
  <c r="Q15" i="36"/>
  <c r="P15" i="36"/>
  <c r="O15" i="36"/>
  <c r="M15" i="36"/>
  <c r="L15" i="36"/>
  <c r="K15" i="36"/>
  <c r="N15" i="36" s="1"/>
  <c r="N14" i="36"/>
  <c r="N13" i="36"/>
  <c r="U13" i="36" s="1"/>
  <c r="N12" i="36"/>
  <c r="N11" i="36"/>
  <c r="U11" i="36" s="1"/>
  <c r="T10" i="36"/>
  <c r="S10" i="36"/>
  <c r="R10" i="36"/>
  <c r="Q10" i="36"/>
  <c r="Q9" i="36" s="1"/>
  <c r="Q8" i="36" s="1"/>
  <c r="P10" i="36"/>
  <c r="P9" i="36" s="1"/>
  <c r="P8" i="36" s="1"/>
  <c r="O10" i="36"/>
  <c r="O9" i="36" s="1"/>
  <c r="O8" i="36" s="1"/>
  <c r="M10" i="36"/>
  <c r="L10" i="36"/>
  <c r="K10" i="36"/>
  <c r="T9" i="36"/>
  <c r="T8" i="36" s="1"/>
  <c r="S9" i="36"/>
  <c r="S8" i="36" s="1"/>
  <c r="R9" i="36"/>
  <c r="R8" i="36" s="1"/>
  <c r="K9" i="36"/>
  <c r="K8" i="36" s="1"/>
  <c r="J445" i="34"/>
  <c r="I476" i="34"/>
  <c r="I474" i="34"/>
  <c r="I467" i="34"/>
  <c r="I464" i="34"/>
  <c r="I459" i="34"/>
  <c r="I455" i="34"/>
  <c r="I425" i="34"/>
  <c r="I414" i="34"/>
  <c r="I412" i="34"/>
  <c r="I406" i="34"/>
  <c r="J406" i="34" s="1"/>
  <c r="I388" i="34"/>
  <c r="I384" i="34"/>
  <c r="I352" i="34"/>
  <c r="I337" i="34"/>
  <c r="I324" i="34"/>
  <c r="I322" i="34"/>
  <c r="I316" i="34"/>
  <c r="I314" i="34"/>
  <c r="I312" i="34"/>
  <c r="I304" i="34"/>
  <c r="I302" i="34"/>
  <c r="I292" i="34"/>
  <c r="I280" i="34"/>
  <c r="E150" i="34"/>
  <c r="F81" i="27"/>
  <c r="E81" i="27"/>
  <c r="G68" i="27"/>
  <c r="G69" i="27" s="1"/>
  <c r="F68" i="27"/>
  <c r="F69" i="27" s="1"/>
  <c r="E68" i="27"/>
  <c r="E69" i="27" s="1"/>
  <c r="H67" i="27"/>
  <c r="H66" i="27"/>
  <c r="H65" i="27"/>
  <c r="L59" i="27"/>
  <c r="L60" i="27" s="1"/>
  <c r="K59" i="27"/>
  <c r="K60" i="27" s="1"/>
  <c r="J59" i="27"/>
  <c r="J60" i="27" s="1"/>
  <c r="I59" i="27"/>
  <c r="I60" i="27" s="1"/>
  <c r="H59" i="27"/>
  <c r="H60" i="27" s="1"/>
  <c r="G59" i="27"/>
  <c r="G60" i="27" s="1"/>
  <c r="F59" i="27"/>
  <c r="F60" i="27" s="1"/>
  <c r="E59" i="27"/>
  <c r="E60" i="27" s="1"/>
  <c r="G46" i="27"/>
  <c r="G47" i="27" s="1"/>
  <c r="F46" i="27"/>
  <c r="F47" i="27" s="1"/>
  <c r="E46" i="27"/>
  <c r="E47" i="27" s="1"/>
  <c r="H47" i="27" s="1"/>
  <c r="H45" i="27"/>
  <c r="H44" i="27"/>
  <c r="H43" i="27"/>
  <c r="L37" i="27"/>
  <c r="L38" i="27" s="1"/>
  <c r="K37" i="27"/>
  <c r="K38" i="27" s="1"/>
  <c r="J37" i="27"/>
  <c r="J38" i="27" s="1"/>
  <c r="I37" i="27"/>
  <c r="I38" i="27" s="1"/>
  <c r="H37" i="27"/>
  <c r="H38" i="27" s="1"/>
  <c r="G37" i="27"/>
  <c r="G38" i="27" s="1"/>
  <c r="F37" i="27"/>
  <c r="F38" i="27" s="1"/>
  <c r="E37" i="27"/>
  <c r="E38" i="27" s="1"/>
  <c r="J20" i="27"/>
  <c r="E24" i="27" s="1"/>
  <c r="I20" i="27"/>
  <c r="E23" i="27" s="1"/>
  <c r="D12" i="27"/>
  <c r="D11" i="27"/>
  <c r="F10" i="27"/>
  <c r="D8" i="27"/>
  <c r="E4" i="27"/>
  <c r="A2" i="27"/>
  <c r="H48" i="27" l="1"/>
  <c r="E73" i="27" s="1"/>
  <c r="N10" i="36"/>
  <c r="U10" i="36" s="1"/>
  <c r="L9" i="36"/>
  <c r="L8" i="36" s="1"/>
  <c r="N25" i="36"/>
  <c r="U25" i="36" s="1"/>
  <c r="S21" i="36"/>
  <c r="S20" i="36" s="1"/>
  <c r="S19" i="36" s="1"/>
  <c r="O26" i="36"/>
  <c r="U26" i="36"/>
  <c r="Q26" i="36"/>
  <c r="N28" i="36"/>
  <c r="K36" i="36"/>
  <c r="N37" i="36"/>
  <c r="U38" i="36"/>
  <c r="Q38" i="36"/>
  <c r="P38" i="36"/>
  <c r="U41" i="36"/>
  <c r="Q41" i="36"/>
  <c r="P41" i="36"/>
  <c r="U42" i="36"/>
  <c r="Q42" i="36"/>
  <c r="P42" i="36"/>
  <c r="M36" i="36"/>
  <c r="M35" i="36" s="1"/>
  <c r="R36" i="36"/>
  <c r="R35" i="36" s="1"/>
  <c r="R34" i="36" s="1"/>
  <c r="U54" i="36"/>
  <c r="Q54" i="36"/>
  <c r="O54" i="36"/>
  <c r="U55" i="36"/>
  <c r="Q55" i="36"/>
  <c r="O55" i="36"/>
  <c r="L52" i="36"/>
  <c r="N59" i="36"/>
  <c r="T52" i="36"/>
  <c r="K52" i="36"/>
  <c r="N62" i="36"/>
  <c r="U75" i="36"/>
  <c r="Q75" i="36"/>
  <c r="Q74" i="36" s="1"/>
  <c r="O75" i="36"/>
  <c r="O74" i="36" s="1"/>
  <c r="N79" i="36"/>
  <c r="U79" i="36" s="1"/>
  <c r="O80" i="36"/>
  <c r="O79" i="36" s="1"/>
  <c r="O78" i="36" s="1"/>
  <c r="O77" i="36" s="1"/>
  <c r="U80" i="36"/>
  <c r="N82" i="36"/>
  <c r="N89" i="36"/>
  <c r="N92" i="36"/>
  <c r="K98" i="36"/>
  <c r="N98" i="36" s="1"/>
  <c r="N99" i="36"/>
  <c r="P98" i="36"/>
  <c r="N114" i="36"/>
  <c r="N117" i="36"/>
  <c r="N120" i="36"/>
  <c r="N123" i="36"/>
  <c r="K126" i="36"/>
  <c r="K112" i="36" s="1"/>
  <c r="N127" i="36"/>
  <c r="U128" i="36"/>
  <c r="O128" i="36"/>
  <c r="O127" i="36" s="1"/>
  <c r="O126" i="36" s="1"/>
  <c r="O112" i="36" s="1"/>
  <c r="O111" i="36" s="1"/>
  <c r="Q126" i="36"/>
  <c r="N126" i="36"/>
  <c r="N148" i="36"/>
  <c r="L144" i="36"/>
  <c r="L143" i="36" s="1"/>
  <c r="Q168" i="36"/>
  <c r="Q154" i="36" s="1"/>
  <c r="Q152" i="36" s="1"/>
  <c r="U168" i="36"/>
  <c r="R155" i="36"/>
  <c r="P214" i="36"/>
  <c r="O214" i="36"/>
  <c r="N241" i="36"/>
  <c r="K244" i="36"/>
  <c r="N245" i="36"/>
  <c r="N262" i="36"/>
  <c r="N274" i="36"/>
  <c r="N283" i="36"/>
  <c r="S282" i="36"/>
  <c r="S257" i="36" s="1"/>
  <c r="Q282" i="36"/>
  <c r="N301" i="36"/>
  <c r="K35" i="36"/>
  <c r="Q113" i="36"/>
  <c r="Q112" i="36" s="1"/>
  <c r="Q111" i="36" s="1"/>
  <c r="K111" i="36"/>
  <c r="T152" i="36"/>
  <c r="T20" i="36"/>
  <c r="T214" i="36"/>
  <c r="O27" i="36"/>
  <c r="M9" i="36"/>
  <c r="M8" i="36" s="1"/>
  <c r="N8" i="36" s="1"/>
  <c r="U8" i="36" s="1"/>
  <c r="P27" i="36"/>
  <c r="Q39" i="36"/>
  <c r="N53" i="36"/>
  <c r="U53" i="36" s="1"/>
  <c r="O60" i="36"/>
  <c r="O59" i="36" s="1"/>
  <c r="K86" i="36"/>
  <c r="Q88" i="36"/>
  <c r="Q87" i="36" s="1"/>
  <c r="Q86" i="36" s="1"/>
  <c r="Q85" i="36" s="1"/>
  <c r="K113" i="36"/>
  <c r="S113" i="36"/>
  <c r="S112" i="36" s="1"/>
  <c r="S111" i="36" s="1"/>
  <c r="S18" i="36" s="1"/>
  <c r="S7" i="36" s="1"/>
  <c r="S6" i="36" s="1"/>
  <c r="U127" i="36"/>
  <c r="K144" i="36"/>
  <c r="M145" i="36"/>
  <c r="M144" i="36" s="1"/>
  <c r="M143" i="36" s="1"/>
  <c r="M195" i="36"/>
  <c r="P196" i="36"/>
  <c r="P195" i="36" s="1"/>
  <c r="M214" i="36"/>
  <c r="M258" i="36"/>
  <c r="N22" i="36"/>
  <c r="P39" i="36"/>
  <c r="P37" i="36" s="1"/>
  <c r="Q27" i="36"/>
  <c r="Q25" i="36" s="1"/>
  <c r="Q21" i="36" s="1"/>
  <c r="Q20" i="36" s="1"/>
  <c r="Q19" i="36" s="1"/>
  <c r="N40" i="36"/>
  <c r="U40" i="36" s="1"/>
  <c r="M78" i="36"/>
  <c r="M77" i="36" s="1"/>
  <c r="N77" i="36" s="1"/>
  <c r="U77" i="36" s="1"/>
  <c r="N171" i="36"/>
  <c r="N232" i="36"/>
  <c r="M270" i="36"/>
  <c r="N270" i="36" s="1"/>
  <c r="K282" i="36"/>
  <c r="U37" i="36"/>
  <c r="T36" i="36"/>
  <c r="M52" i="36"/>
  <c r="N52" i="36" s="1"/>
  <c r="U52" i="36" s="1"/>
  <c r="U74" i="36"/>
  <c r="R98" i="36"/>
  <c r="R85" i="36" s="1"/>
  <c r="M113" i="36"/>
  <c r="M112" i="36" s="1"/>
  <c r="S155" i="36"/>
  <c r="S154" i="36" s="1"/>
  <c r="S152" i="36" s="1"/>
  <c r="N244" i="36"/>
  <c r="P258" i="36"/>
  <c r="P257" i="36" s="1"/>
  <c r="K21" i="36"/>
  <c r="O25" i="36"/>
  <c r="O21" i="36" s="1"/>
  <c r="O20" i="36" s="1"/>
  <c r="O19" i="36" s="1"/>
  <c r="P26" i="36"/>
  <c r="P25" i="36" s="1"/>
  <c r="P21" i="36" s="1"/>
  <c r="P20" i="36" s="1"/>
  <c r="P19" i="36" s="1"/>
  <c r="L36" i="36"/>
  <c r="L35" i="36" s="1"/>
  <c r="L34" i="36" s="1"/>
  <c r="Q80" i="36"/>
  <c r="Q79" i="36" s="1"/>
  <c r="Q78" i="36" s="1"/>
  <c r="Q77" i="36" s="1"/>
  <c r="N95" i="36"/>
  <c r="N159" i="36"/>
  <c r="K155" i="36"/>
  <c r="S196" i="36"/>
  <c r="S195" i="36" s="1"/>
  <c r="Q214" i="36"/>
  <c r="O244" i="36"/>
  <c r="Q257" i="36"/>
  <c r="O113" i="36"/>
  <c r="K196" i="36"/>
  <c r="N197" i="36"/>
  <c r="Q37" i="36"/>
  <c r="L88" i="36"/>
  <c r="S142" i="36"/>
  <c r="R154" i="36"/>
  <c r="R152" i="36" s="1"/>
  <c r="R142" i="36" s="1"/>
  <c r="N237" i="36"/>
  <c r="K214" i="36"/>
  <c r="N215" i="36"/>
  <c r="U215" i="36" s="1"/>
  <c r="N78" i="36"/>
  <c r="U78" i="36" s="1"/>
  <c r="P88" i="36"/>
  <c r="P87" i="36" s="1"/>
  <c r="P86" i="36" s="1"/>
  <c r="P85" i="36" s="1"/>
  <c r="R113" i="36"/>
  <c r="R112" i="36" s="1"/>
  <c r="R111" i="36" s="1"/>
  <c r="O196" i="36"/>
  <c r="O195" i="36" s="1"/>
  <c r="O142" i="36" s="1"/>
  <c r="N208" i="36"/>
  <c r="N259" i="36"/>
  <c r="L258" i="36"/>
  <c r="T126" i="36"/>
  <c r="H69" i="27"/>
  <c r="H70" i="27" s="1"/>
  <c r="E74" i="27" s="1"/>
  <c r="E75" i="27" s="1"/>
  <c r="E80" i="27" s="1"/>
  <c r="E25" i="27"/>
  <c r="E79" i="27" s="1"/>
  <c r="Q142" i="36" l="1"/>
  <c r="M111" i="36"/>
  <c r="N112" i="36"/>
  <c r="R18" i="36"/>
  <c r="R7" i="36" s="1"/>
  <c r="N282" i="36"/>
  <c r="K257" i="36"/>
  <c r="M257" i="36"/>
  <c r="P142" i="36"/>
  <c r="N113" i="36"/>
  <c r="N111" i="36"/>
  <c r="O53" i="36"/>
  <c r="O52" i="36" s="1"/>
  <c r="O34" i="36" s="1"/>
  <c r="O18" i="36" s="1"/>
  <c r="O7" i="36" s="1"/>
  <c r="Q53" i="36"/>
  <c r="Q52" i="36" s="1"/>
  <c r="P40" i="36"/>
  <c r="P36" i="36" s="1"/>
  <c r="P35" i="36" s="1"/>
  <c r="P34" i="36" s="1"/>
  <c r="P18" i="36" s="1"/>
  <c r="P7" i="36" s="1"/>
  <c r="Q40" i="36"/>
  <c r="Q36" i="36" s="1"/>
  <c r="Q35" i="36" s="1"/>
  <c r="P6" i="36"/>
  <c r="O6" i="36"/>
  <c r="R6" i="36"/>
  <c r="T35" i="36"/>
  <c r="Q34" i="36"/>
  <c r="Q18" i="36" s="1"/>
  <c r="Q7" i="36" s="1"/>
  <c r="Q6" i="36" s="1"/>
  <c r="N155" i="36"/>
  <c r="N154" i="36" s="1"/>
  <c r="K154" i="36"/>
  <c r="K152" i="36" s="1"/>
  <c r="N35" i="36"/>
  <c r="K34" i="36"/>
  <c r="L257" i="36"/>
  <c r="L142" i="36" s="1"/>
  <c r="N258" i="36"/>
  <c r="N214" i="36"/>
  <c r="U214" i="36" s="1"/>
  <c r="M142" i="36"/>
  <c r="T19" i="36"/>
  <c r="N21" i="36"/>
  <c r="U21" i="36" s="1"/>
  <c r="K20" i="36"/>
  <c r="K85" i="36"/>
  <c r="N36" i="36"/>
  <c r="U36" i="36" s="1"/>
  <c r="M34" i="36"/>
  <c r="M18" i="36" s="1"/>
  <c r="M7" i="36" s="1"/>
  <c r="M6" i="36" s="1"/>
  <c r="T113" i="36"/>
  <c r="U126" i="36"/>
  <c r="K195" i="36"/>
  <c r="N195" i="36" s="1"/>
  <c r="N196" i="36"/>
  <c r="N9" i="36"/>
  <c r="U9" i="36" s="1"/>
  <c r="K143" i="36"/>
  <c r="N144" i="36"/>
  <c r="N145" i="36"/>
  <c r="T142" i="36"/>
  <c r="N257" i="36"/>
  <c r="N88" i="36"/>
  <c r="L87" i="36"/>
  <c r="D100" i="1"/>
  <c r="J93" i="1"/>
  <c r="I93" i="1"/>
  <c r="H93" i="1"/>
  <c r="G93" i="1"/>
  <c r="J92" i="1"/>
  <c r="I92" i="1"/>
  <c r="H92" i="1"/>
  <c r="G92" i="1"/>
  <c r="J91" i="1"/>
  <c r="I91" i="1"/>
  <c r="H91" i="1"/>
  <c r="G91" i="1"/>
  <c r="J90" i="1"/>
  <c r="I90" i="1"/>
  <c r="H90" i="1"/>
  <c r="G90" i="1"/>
  <c r="J89" i="1"/>
  <c r="I89" i="1"/>
  <c r="H89" i="1"/>
  <c r="G89" i="1"/>
  <c r="J88" i="1"/>
  <c r="I88" i="1"/>
  <c r="H88" i="1"/>
  <c r="G88" i="1"/>
  <c r="J87" i="1"/>
  <c r="I87" i="1"/>
  <c r="H87" i="1"/>
  <c r="G87" i="1"/>
  <c r="J86" i="1"/>
  <c r="I86" i="1"/>
  <c r="H86" i="1"/>
  <c r="G86" i="1"/>
  <c r="J85" i="1"/>
  <c r="I85" i="1"/>
  <c r="H85" i="1"/>
  <c r="G85" i="1"/>
  <c r="J84" i="1"/>
  <c r="I84" i="1"/>
  <c r="H84" i="1"/>
  <c r="G84" i="1"/>
  <c r="J83" i="1"/>
  <c r="I83" i="1"/>
  <c r="H83" i="1"/>
  <c r="G83" i="1"/>
  <c r="J82" i="1"/>
  <c r="I82" i="1"/>
  <c r="H82" i="1"/>
  <c r="G82" i="1"/>
  <c r="J81" i="1"/>
  <c r="I81" i="1"/>
  <c r="H81" i="1"/>
  <c r="G81" i="1"/>
  <c r="J80" i="1"/>
  <c r="I80" i="1"/>
  <c r="H80" i="1"/>
  <c r="G80" i="1"/>
  <c r="F75" i="1"/>
  <c r="F93" i="1" s="1"/>
  <c r="E75" i="1"/>
  <c r="E93" i="1" s="1"/>
  <c r="D75" i="1"/>
  <c r="D93" i="1" s="1"/>
  <c r="F74" i="1"/>
  <c r="F92" i="1" s="1"/>
  <c r="E74" i="1"/>
  <c r="E92" i="1" s="1"/>
  <c r="D74" i="1"/>
  <c r="D92" i="1" s="1"/>
  <c r="F73" i="1"/>
  <c r="F91" i="1" s="1"/>
  <c r="E73" i="1"/>
  <c r="E91" i="1" s="1"/>
  <c r="D73" i="1"/>
  <c r="D91" i="1" s="1"/>
  <c r="F72" i="1"/>
  <c r="F90" i="1" s="1"/>
  <c r="E72" i="1"/>
  <c r="E90" i="1" s="1"/>
  <c r="D72" i="1"/>
  <c r="D90" i="1" s="1"/>
  <c r="F71" i="1"/>
  <c r="F89" i="1" s="1"/>
  <c r="E71" i="1"/>
  <c r="E89" i="1" s="1"/>
  <c r="D71" i="1"/>
  <c r="D89" i="1" s="1"/>
  <c r="F70" i="1"/>
  <c r="F88" i="1" s="1"/>
  <c r="E70" i="1"/>
  <c r="E88" i="1" s="1"/>
  <c r="D70" i="1"/>
  <c r="D88" i="1" s="1"/>
  <c r="F69" i="1"/>
  <c r="F87" i="1" s="1"/>
  <c r="E69" i="1"/>
  <c r="E87" i="1" s="1"/>
  <c r="D69" i="1"/>
  <c r="D87" i="1" s="1"/>
  <c r="F68" i="1"/>
  <c r="F86" i="1" s="1"/>
  <c r="E68" i="1"/>
  <c r="E86" i="1" s="1"/>
  <c r="D68" i="1"/>
  <c r="D86" i="1" s="1"/>
  <c r="F85" i="1"/>
  <c r="E67" i="1"/>
  <c r="E85" i="1" s="1"/>
  <c r="D67" i="1"/>
  <c r="D85" i="1" s="1"/>
  <c r="F66" i="1"/>
  <c r="F84" i="1" s="1"/>
  <c r="E66" i="1"/>
  <c r="E84" i="1" s="1"/>
  <c r="D66" i="1"/>
  <c r="D84" i="1" s="1"/>
  <c r="F65" i="1"/>
  <c r="F83" i="1" s="1"/>
  <c r="E65" i="1"/>
  <c r="E83" i="1" s="1"/>
  <c r="D65" i="1"/>
  <c r="D83" i="1" s="1"/>
  <c r="F64" i="1"/>
  <c r="F82" i="1" s="1"/>
  <c r="E64" i="1"/>
  <c r="E82" i="1" s="1"/>
  <c r="D64" i="1"/>
  <c r="D82" i="1" s="1"/>
  <c r="F63" i="1"/>
  <c r="F81" i="1" s="1"/>
  <c r="E63" i="1"/>
  <c r="E81" i="1" s="1"/>
  <c r="D63" i="1"/>
  <c r="D81" i="1" s="1"/>
  <c r="F62" i="1"/>
  <c r="F80" i="1" s="1"/>
  <c r="E62" i="1"/>
  <c r="E80" i="1" s="1"/>
  <c r="D62" i="1"/>
  <c r="D80" i="1" s="1"/>
  <c r="D12" i="1"/>
  <c r="D11" i="1"/>
  <c r="F10" i="1"/>
  <c r="E4" i="1"/>
  <c r="A2" i="1"/>
  <c r="I51" i="6"/>
  <c r="H51" i="6"/>
  <c r="G51" i="6"/>
  <c r="F51" i="6"/>
  <c r="H26" i="6"/>
  <c r="G26" i="6"/>
  <c r="F26" i="6"/>
  <c r="E26" i="6"/>
  <c r="H25" i="6"/>
  <c r="G25" i="6"/>
  <c r="F25" i="6"/>
  <c r="E25" i="6"/>
  <c r="H24" i="6"/>
  <c r="H27" i="6" s="1"/>
  <c r="G24" i="6"/>
  <c r="G27" i="6" s="1"/>
  <c r="F24" i="6"/>
  <c r="F27" i="6" s="1"/>
  <c r="E24" i="6"/>
  <c r="E27" i="6" s="1"/>
  <c r="D8" i="6" s="1"/>
  <c r="D12" i="6"/>
  <c r="D11" i="6"/>
  <c r="F10" i="6"/>
  <c r="E4" i="6"/>
  <c r="A2" i="6"/>
  <c r="K41" i="21"/>
  <c r="J41" i="21"/>
  <c r="E41" i="21"/>
  <c r="D41" i="21"/>
  <c r="I23" i="21"/>
  <c r="G53" i="21"/>
  <c r="H53" i="21"/>
  <c r="I53" i="21"/>
  <c r="K52" i="21"/>
  <c r="J52" i="21"/>
  <c r="E52" i="21"/>
  <c r="D52" i="21"/>
  <c r="K51" i="21"/>
  <c r="J51" i="21"/>
  <c r="E51" i="21"/>
  <c r="D51" i="21"/>
  <c r="I34" i="21"/>
  <c r="I33" i="21"/>
  <c r="K50" i="21"/>
  <c r="J50" i="21"/>
  <c r="E50" i="21"/>
  <c r="D50" i="21"/>
  <c r="I32" i="21"/>
  <c r="K49" i="21"/>
  <c r="J49" i="21"/>
  <c r="E49" i="21"/>
  <c r="D49" i="21"/>
  <c r="I31" i="21"/>
  <c r="K142" i="36" l="1"/>
  <c r="N143" i="36"/>
  <c r="L86" i="36"/>
  <c r="N87" i="36"/>
  <c r="U35" i="36"/>
  <c r="T34" i="36"/>
  <c r="N20" i="36"/>
  <c r="U20" i="36" s="1"/>
  <c r="K19" i="36"/>
  <c r="N34" i="36"/>
  <c r="U113" i="36"/>
  <c r="T112" i="36"/>
  <c r="N152" i="36"/>
  <c r="U152" i="36" s="1"/>
  <c r="U154" i="36"/>
  <c r="G99" i="1"/>
  <c r="G97" i="1"/>
  <c r="J98" i="1"/>
  <c r="I98" i="1"/>
  <c r="H98" i="1"/>
  <c r="H97" i="1"/>
  <c r="G98" i="1"/>
  <c r="H99" i="1"/>
  <c r="J99" i="1"/>
  <c r="J97" i="1"/>
  <c r="I99" i="1"/>
  <c r="I97" i="1"/>
  <c r="D52" i="29"/>
  <c r="G51" i="29"/>
  <c r="F51" i="29"/>
  <c r="E51" i="29"/>
  <c r="G50" i="29"/>
  <c r="F50" i="29"/>
  <c r="E50" i="29"/>
  <c r="G49" i="29"/>
  <c r="F49" i="29"/>
  <c r="E49" i="29"/>
  <c r="G48" i="29"/>
  <c r="G47" i="29"/>
  <c r="G46" i="29"/>
  <c r="F46" i="29"/>
  <c r="F52" i="29" s="1"/>
  <c r="D8" i="29" s="1"/>
  <c r="E46" i="29"/>
  <c r="G45" i="29"/>
  <c r="F45" i="29"/>
  <c r="G44" i="29"/>
  <c r="F44" i="29"/>
  <c r="E44" i="29"/>
  <c r="G43" i="29"/>
  <c r="G42" i="29"/>
  <c r="F42" i="29"/>
  <c r="E42" i="29"/>
  <c r="G41" i="29"/>
  <c r="J35" i="29"/>
  <c r="I35" i="29"/>
  <c r="H35" i="29"/>
  <c r="G35" i="29"/>
  <c r="I19" i="29"/>
  <c r="I18" i="29"/>
  <c r="I17" i="29"/>
  <c r="D12" i="29"/>
  <c r="D11" i="29"/>
  <c r="F10" i="29"/>
  <c r="E4" i="29"/>
  <c r="A2" i="29"/>
  <c r="H17" i="26"/>
  <c r="G17" i="26"/>
  <c r="F17" i="26"/>
  <c r="E17" i="26"/>
  <c r="D11" i="26"/>
  <c r="D10" i="26"/>
  <c r="F9" i="26"/>
  <c r="D7" i="26"/>
  <c r="E4" i="26"/>
  <c r="A2" i="26"/>
  <c r="H21" i="25"/>
  <c r="G21" i="25"/>
  <c r="F21" i="25"/>
  <c r="E21" i="25"/>
  <c r="D8" i="25" s="1"/>
  <c r="I20" i="25"/>
  <c r="I19" i="25"/>
  <c r="I18" i="25"/>
  <c r="D12" i="25"/>
  <c r="D11" i="25"/>
  <c r="F10" i="25"/>
  <c r="E4" i="25"/>
  <c r="A2" i="25"/>
  <c r="F122" i="24"/>
  <c r="D121" i="24"/>
  <c r="D120" i="24"/>
  <c r="D119" i="24"/>
  <c r="D118" i="24"/>
  <c r="D117" i="24"/>
  <c r="H114" i="24"/>
  <c r="G114" i="24"/>
  <c r="F114" i="24"/>
  <c r="E114" i="24"/>
  <c r="E121" i="24" s="1"/>
  <c r="G121" i="24" s="1"/>
  <c r="I113" i="24"/>
  <c r="I112" i="24"/>
  <c r="H101" i="24"/>
  <c r="G101" i="24"/>
  <c r="F101" i="24"/>
  <c r="E101" i="24"/>
  <c r="I100" i="24"/>
  <c r="I99" i="24"/>
  <c r="H94" i="24"/>
  <c r="G94" i="24"/>
  <c r="F94" i="24"/>
  <c r="E94" i="24"/>
  <c r="E120" i="24" s="1"/>
  <c r="G120" i="24" s="1"/>
  <c r="I93" i="24"/>
  <c r="I92" i="24"/>
  <c r="H83" i="24"/>
  <c r="G83" i="24"/>
  <c r="F83" i="24"/>
  <c r="E83" i="24"/>
  <c r="I82" i="24"/>
  <c r="I81" i="24"/>
  <c r="H76" i="24"/>
  <c r="G76" i="24"/>
  <c r="F76" i="24"/>
  <c r="E76" i="24"/>
  <c r="E119" i="24" s="1"/>
  <c r="G119" i="24" s="1"/>
  <c r="I75" i="24"/>
  <c r="I74" i="24"/>
  <c r="H62" i="24"/>
  <c r="G62" i="24"/>
  <c r="F62" i="24"/>
  <c r="E62" i="24"/>
  <c r="I61" i="24"/>
  <c r="I60" i="24"/>
  <c r="H55" i="24"/>
  <c r="G55" i="24"/>
  <c r="F55" i="24"/>
  <c r="E55" i="24"/>
  <c r="E118" i="24" s="1"/>
  <c r="G118" i="24" s="1"/>
  <c r="I54" i="24"/>
  <c r="I53" i="24"/>
  <c r="H41" i="24"/>
  <c r="G41" i="24"/>
  <c r="F41" i="24"/>
  <c r="E41" i="24"/>
  <c r="H24" i="24"/>
  <c r="G24" i="24"/>
  <c r="F24" i="24"/>
  <c r="E24" i="24"/>
  <c r="E117" i="24" s="1"/>
  <c r="G117" i="24" s="1"/>
  <c r="I23" i="24"/>
  <c r="I22" i="24"/>
  <c r="D12" i="24"/>
  <c r="D11" i="24"/>
  <c r="F10" i="24"/>
  <c r="E4" i="24"/>
  <c r="A2" i="24"/>
  <c r="F57" i="23"/>
  <c r="D56" i="23"/>
  <c r="D55" i="23"/>
  <c r="D54" i="23"/>
  <c r="D53" i="23"/>
  <c r="D52" i="23"/>
  <c r="H49" i="23"/>
  <c r="G49" i="23"/>
  <c r="F49" i="23"/>
  <c r="E49" i="23"/>
  <c r="E56" i="23" s="1"/>
  <c r="G56" i="23" s="1"/>
  <c r="I48" i="23"/>
  <c r="I47" i="23"/>
  <c r="I49" i="23" s="1"/>
  <c r="H42" i="23"/>
  <c r="G42" i="23"/>
  <c r="F42" i="23"/>
  <c r="E42" i="23"/>
  <c r="E55" i="23" s="1"/>
  <c r="G55" i="23" s="1"/>
  <c r="I41" i="23"/>
  <c r="I40" i="23"/>
  <c r="H35" i="23"/>
  <c r="G35" i="23"/>
  <c r="F35" i="23"/>
  <c r="E35" i="23"/>
  <c r="E54" i="23" s="1"/>
  <c r="G54" i="23" s="1"/>
  <c r="I34" i="23"/>
  <c r="I33" i="23"/>
  <c r="I35" i="23" s="1"/>
  <c r="H28" i="23"/>
  <c r="G28" i="23"/>
  <c r="F28" i="23"/>
  <c r="E28" i="23"/>
  <c r="E53" i="23" s="1"/>
  <c r="G53" i="23" s="1"/>
  <c r="I27" i="23"/>
  <c r="I26" i="23"/>
  <c r="I28" i="23" s="1"/>
  <c r="H21" i="23"/>
  <c r="G21" i="23"/>
  <c r="F21" i="23"/>
  <c r="E21" i="23"/>
  <c r="E52" i="23" s="1"/>
  <c r="I20" i="23"/>
  <c r="I19" i="23"/>
  <c r="I21" i="23" s="1"/>
  <c r="D12" i="23"/>
  <c r="D11" i="23"/>
  <c r="F10" i="23"/>
  <c r="E4" i="23"/>
  <c r="A2" i="23"/>
  <c r="G42" i="22"/>
  <c r="D42" i="22"/>
  <c r="G41" i="22"/>
  <c r="F41" i="22"/>
  <c r="E41" i="22"/>
  <c r="G40" i="22"/>
  <c r="F40" i="22"/>
  <c r="E40" i="22"/>
  <c r="G39" i="22"/>
  <c r="F39" i="22"/>
  <c r="E39" i="22"/>
  <c r="G38" i="22"/>
  <c r="F38" i="22"/>
  <c r="E38" i="22"/>
  <c r="G37" i="22"/>
  <c r="F37" i="22"/>
  <c r="E37" i="22"/>
  <c r="G36" i="22"/>
  <c r="F36" i="22"/>
  <c r="E36" i="22"/>
  <c r="K30" i="22"/>
  <c r="J30" i="22"/>
  <c r="I30" i="22"/>
  <c r="H30" i="22"/>
  <c r="I19" i="22"/>
  <c r="I18" i="22"/>
  <c r="I17" i="22"/>
  <c r="D12" i="22"/>
  <c r="D11" i="22"/>
  <c r="F10" i="22"/>
  <c r="E4" i="22"/>
  <c r="A2" i="22"/>
  <c r="I28" i="17"/>
  <c r="H28" i="17"/>
  <c r="I27" i="17"/>
  <c r="I26" i="17"/>
  <c r="I25" i="17"/>
  <c r="I24" i="17"/>
  <c r="I23" i="17"/>
  <c r="I22" i="17"/>
  <c r="I18" i="17"/>
  <c r="D12" i="17"/>
  <c r="D11" i="17"/>
  <c r="F10" i="17"/>
  <c r="D8" i="17"/>
  <c r="E4" i="17"/>
  <c r="A2" i="17"/>
  <c r="J33" i="16"/>
  <c r="I33" i="16"/>
  <c r="H33" i="16"/>
  <c r="G33" i="16"/>
  <c r="F33" i="16"/>
  <c r="H21" i="16"/>
  <c r="H22" i="16" s="1"/>
  <c r="G21" i="16"/>
  <c r="G22" i="16" s="1"/>
  <c r="F21" i="16"/>
  <c r="F22" i="16" s="1"/>
  <c r="E21" i="16"/>
  <c r="E22" i="16" s="1"/>
  <c r="D8" i="16" s="1"/>
  <c r="D12" i="16"/>
  <c r="D11" i="16"/>
  <c r="F10" i="16"/>
  <c r="E4" i="16"/>
  <c r="A2" i="16"/>
  <c r="K37" i="15"/>
  <c r="J37" i="15"/>
  <c r="I37" i="15"/>
  <c r="H37" i="15"/>
  <c r="I21" i="15"/>
  <c r="H21" i="15"/>
  <c r="F21" i="15"/>
  <c r="E21" i="15"/>
  <c r="J20" i="15"/>
  <c r="G20" i="15"/>
  <c r="J19" i="15"/>
  <c r="G19" i="15"/>
  <c r="J18" i="15"/>
  <c r="G18" i="15"/>
  <c r="K18" i="15" s="1"/>
  <c r="D12" i="15"/>
  <c r="D11" i="15"/>
  <c r="F10" i="15"/>
  <c r="E4" i="15"/>
  <c r="A2" i="15"/>
  <c r="K40" i="14"/>
  <c r="J40" i="14"/>
  <c r="I40" i="14"/>
  <c r="H40" i="14"/>
  <c r="P22" i="14"/>
  <c r="O22" i="14"/>
  <c r="N22" i="14"/>
  <c r="M22" i="14"/>
  <c r="L22" i="14"/>
  <c r="K22" i="14"/>
  <c r="J22" i="14"/>
  <c r="I22" i="14"/>
  <c r="H22" i="14"/>
  <c r="G22" i="14"/>
  <c r="F22" i="14"/>
  <c r="E22" i="14"/>
  <c r="Q21" i="14"/>
  <c r="Q20" i="14"/>
  <c r="Q19" i="14"/>
  <c r="D12" i="14"/>
  <c r="D11" i="14"/>
  <c r="F10" i="14"/>
  <c r="E4" i="14"/>
  <c r="A2" i="14"/>
  <c r="K40" i="13"/>
  <c r="J40" i="13"/>
  <c r="I40" i="13"/>
  <c r="H40" i="13"/>
  <c r="F20" i="13"/>
  <c r="E20" i="13"/>
  <c r="G19" i="13"/>
  <c r="G18" i="13"/>
  <c r="G17" i="13"/>
  <c r="D12" i="13"/>
  <c r="D11" i="13"/>
  <c r="F10" i="13"/>
  <c r="E4" i="13"/>
  <c r="A2" i="13"/>
  <c r="M46" i="12"/>
  <c r="L45" i="12"/>
  <c r="H30" i="12"/>
  <c r="G30" i="12"/>
  <c r="F30" i="12"/>
  <c r="E30" i="12"/>
  <c r="M29" i="12"/>
  <c r="K29" i="12"/>
  <c r="K44" i="12" s="1"/>
  <c r="M28" i="12"/>
  <c r="K28" i="12"/>
  <c r="K43" i="12" s="1"/>
  <c r="M27" i="12"/>
  <c r="K27" i="12"/>
  <c r="K42" i="12" s="1"/>
  <c r="M26" i="12"/>
  <c r="M30" i="12" s="1"/>
  <c r="K26" i="12"/>
  <c r="K41" i="12" s="1"/>
  <c r="I25" i="12"/>
  <c r="M22" i="12"/>
  <c r="E20" i="12"/>
  <c r="N17" i="12"/>
  <c r="N18" i="12" s="1"/>
  <c r="N19" i="12" s="1"/>
  <c r="N20" i="12" s="1"/>
  <c r="N21" i="12" s="1"/>
  <c r="D12" i="12"/>
  <c r="D11" i="12"/>
  <c r="F10" i="12"/>
  <c r="E4" i="12"/>
  <c r="A2" i="12"/>
  <c r="H95" i="10"/>
  <c r="G95" i="10"/>
  <c r="F95" i="10"/>
  <c r="E95" i="10"/>
  <c r="H94" i="10"/>
  <c r="G94" i="10"/>
  <c r="F94" i="10"/>
  <c r="E94" i="10"/>
  <c r="H69" i="10"/>
  <c r="G69" i="10"/>
  <c r="F69" i="10"/>
  <c r="E69" i="10"/>
  <c r="I63" i="10"/>
  <c r="H58" i="10"/>
  <c r="G58" i="10"/>
  <c r="F58" i="10"/>
  <c r="E58" i="10"/>
  <c r="I52" i="10"/>
  <c r="H46" i="10"/>
  <c r="G46" i="10"/>
  <c r="F46" i="10"/>
  <c r="E46" i="10"/>
  <c r="I40" i="10"/>
  <c r="H35" i="10"/>
  <c r="G35" i="10"/>
  <c r="F35" i="10"/>
  <c r="E35" i="10"/>
  <c r="I29" i="10"/>
  <c r="F24" i="10"/>
  <c r="E24" i="10"/>
  <c r="G23" i="10"/>
  <c r="G22" i="10"/>
  <c r="G21" i="10"/>
  <c r="G20" i="10"/>
  <c r="G19" i="10"/>
  <c r="D13" i="10"/>
  <c r="D12" i="10"/>
  <c r="F11" i="10"/>
  <c r="E4" i="10"/>
  <c r="A2" i="10"/>
  <c r="J37" i="9"/>
  <c r="I37" i="9"/>
  <c r="H37" i="9"/>
  <c r="G37" i="9"/>
  <c r="F37" i="9"/>
  <c r="H19" i="9"/>
  <c r="G19" i="9"/>
  <c r="F19" i="9"/>
  <c r="E19" i="9"/>
  <c r="I19" i="9" s="1"/>
  <c r="I18" i="9"/>
  <c r="I17" i="9"/>
  <c r="D12" i="9"/>
  <c r="D11" i="9"/>
  <c r="F10" i="9"/>
  <c r="E4" i="9"/>
  <c r="A2" i="9"/>
  <c r="H19" i="8"/>
  <c r="G19" i="8"/>
  <c r="F19" i="8"/>
  <c r="E19" i="8"/>
  <c r="D12" i="8"/>
  <c r="D11" i="8"/>
  <c r="F10" i="8"/>
  <c r="D8" i="8"/>
  <c r="E4" i="8"/>
  <c r="A2" i="8"/>
  <c r="H22" i="5"/>
  <c r="G22" i="5"/>
  <c r="F22" i="5"/>
  <c r="E22" i="5"/>
  <c r="D12" i="5"/>
  <c r="D11" i="5"/>
  <c r="F10" i="5"/>
  <c r="D8" i="5"/>
  <c r="E4" i="5"/>
  <c r="A2" i="5"/>
  <c r="H23" i="4"/>
  <c r="G23" i="4"/>
  <c r="F23" i="4"/>
  <c r="E23" i="4"/>
  <c r="D8" i="4" s="1"/>
  <c r="I22" i="4"/>
  <c r="I21" i="4"/>
  <c r="D12" i="4"/>
  <c r="D11" i="4"/>
  <c r="F10" i="4"/>
  <c r="E4" i="4"/>
  <c r="A2" i="4"/>
  <c r="H22" i="3"/>
  <c r="G22" i="3"/>
  <c r="F22" i="3"/>
  <c r="E22" i="3"/>
  <c r="D12" i="3"/>
  <c r="D11" i="3"/>
  <c r="F10" i="3"/>
  <c r="D8" i="3"/>
  <c r="E4" i="3"/>
  <c r="A2" i="3"/>
  <c r="H23" i="2"/>
  <c r="G23" i="2"/>
  <c r="F23" i="2"/>
  <c r="E23" i="2"/>
  <c r="I22" i="2"/>
  <c r="I21" i="2"/>
  <c r="D12" i="2"/>
  <c r="D11" i="2"/>
  <c r="F10" i="2"/>
  <c r="D8" i="2"/>
  <c r="E4" i="2"/>
  <c r="A2" i="2"/>
  <c r="I23" i="4" l="1"/>
  <c r="M45" i="12"/>
  <c r="M32" i="12" s="1"/>
  <c r="G20" i="13"/>
  <c r="D8" i="13" s="1"/>
  <c r="K19" i="15"/>
  <c r="I24" i="24"/>
  <c r="I55" i="24"/>
  <c r="I62" i="24"/>
  <c r="I83" i="24"/>
  <c r="I94" i="24"/>
  <c r="G52" i="29"/>
  <c r="U34" i="36"/>
  <c r="U112" i="36"/>
  <c r="T111" i="36"/>
  <c r="L85" i="36"/>
  <c r="N86" i="36"/>
  <c r="N142" i="36"/>
  <c r="U142" i="36" s="1"/>
  <c r="K18" i="36"/>
  <c r="N19" i="36"/>
  <c r="U19" i="36" s="1"/>
  <c r="H96" i="10"/>
  <c r="D8" i="9"/>
  <c r="F96" i="10"/>
  <c r="M33" i="12"/>
  <c r="M34" i="12" s="1"/>
  <c r="D8" i="12" s="1"/>
  <c r="J21" i="15"/>
  <c r="E42" i="22"/>
  <c r="I76" i="24"/>
  <c r="G24" i="10"/>
  <c r="G96" i="10"/>
  <c r="I42" i="23"/>
  <c r="G122" i="24"/>
  <c r="D8" i="24" s="1"/>
  <c r="I114" i="24"/>
  <c r="E52" i="29"/>
  <c r="I23" i="2"/>
  <c r="I94" i="10"/>
  <c r="E96" i="10"/>
  <c r="D9" i="10" s="1"/>
  <c r="G21" i="15"/>
  <c r="I101" i="24"/>
  <c r="I21" i="25"/>
  <c r="Q22" i="14"/>
  <c r="D8" i="14" s="1"/>
  <c r="F42" i="22"/>
  <c r="D8" i="22" s="1"/>
  <c r="E57" i="23"/>
  <c r="G52" i="23"/>
  <c r="G57" i="23" s="1"/>
  <c r="D8" i="23" s="1"/>
  <c r="K20" i="15"/>
  <c r="K21" i="15" s="1"/>
  <c r="D8" i="15" s="1"/>
  <c r="M31" i="12"/>
  <c r="I95" i="10"/>
  <c r="I96" i="10" s="1"/>
  <c r="K7" i="36" l="1"/>
  <c r="L18" i="36"/>
  <c r="L7" i="36" s="1"/>
  <c r="L6" i="36" s="1"/>
  <c r="N85" i="36"/>
  <c r="U111" i="36"/>
  <c r="T18" i="36"/>
  <c r="R479" i="34"/>
  <c r="T7" i="36" l="1"/>
  <c r="N7" i="36"/>
  <c r="N6" i="36" s="1"/>
  <c r="K6" i="36"/>
  <c r="N18" i="36"/>
  <c r="U18" i="36" s="1"/>
  <c r="E295" i="34"/>
  <c r="E292" i="34"/>
  <c r="U7" i="36" l="1"/>
  <c r="T6" i="36"/>
  <c r="U6" i="36" s="1"/>
  <c r="E364" i="34"/>
  <c r="O135" i="34" l="1"/>
  <c r="O100" i="34"/>
  <c r="O85" i="34"/>
  <c r="R477" i="34"/>
  <c r="R470" i="34"/>
  <c r="R440" i="34"/>
  <c r="R419" i="34"/>
  <c r="R407" i="34"/>
  <c r="R367" i="34"/>
  <c r="R347" i="34"/>
  <c r="R342" i="34"/>
  <c r="R334" i="34"/>
  <c r="R332" i="34"/>
  <c r="R328" i="34"/>
  <c r="R325" i="34"/>
  <c r="R319" i="34"/>
  <c r="R317" i="34"/>
  <c r="R307" i="34"/>
  <c r="R305" i="34"/>
  <c r="R297" i="34"/>
  <c r="R289" i="34"/>
  <c r="R283" i="34"/>
  <c r="R281" i="34"/>
  <c r="R277" i="34"/>
  <c r="R273" i="34"/>
  <c r="R267" i="34"/>
  <c r="R258" i="34"/>
  <c r="R252" i="34"/>
  <c r="R242" i="34"/>
  <c r="R234" i="34"/>
  <c r="R232" i="34"/>
  <c r="R214" i="34"/>
  <c r="R210" i="34"/>
  <c r="R198" i="34"/>
  <c r="R187" i="34"/>
  <c r="R181" i="34"/>
  <c r="R170" i="34"/>
  <c r="R160" i="34"/>
  <c r="R158" i="34"/>
  <c r="R156" i="34"/>
  <c r="R154" i="34"/>
  <c r="R151" i="34"/>
  <c r="R147" i="34"/>
  <c r="R145" i="34"/>
  <c r="R141" i="34"/>
  <c r="R139" i="34"/>
  <c r="R137" i="34"/>
  <c r="R133" i="34"/>
  <c r="R122" i="34"/>
  <c r="R119" i="34"/>
  <c r="R117" i="34"/>
  <c r="R107" i="34"/>
  <c r="R102" i="34"/>
  <c r="R98" i="34"/>
  <c r="R96" i="34"/>
  <c r="R94" i="34"/>
  <c r="R87" i="34"/>
  <c r="R85" i="34"/>
  <c r="R81" i="34"/>
  <c r="R71" i="34"/>
  <c r="R67" i="34"/>
  <c r="R65" i="34"/>
  <c r="R56" i="34"/>
  <c r="R28" i="34"/>
  <c r="R24" i="34"/>
  <c r="R22" i="34"/>
  <c r="R18" i="34"/>
  <c r="R16" i="34"/>
  <c r="R100" i="34"/>
  <c r="P135" i="34"/>
  <c r="R135" i="34" s="1"/>
  <c r="P46" i="34"/>
  <c r="P44" i="34"/>
  <c r="P42" i="34"/>
  <c r="Q473" i="34"/>
  <c r="Q472" i="34" s="1"/>
  <c r="Q469" i="34"/>
  <c r="Q465" i="34"/>
  <c r="Q462" i="34"/>
  <c r="Q458" i="34"/>
  <c r="Q457" i="34"/>
  <c r="Q443" i="34"/>
  <c r="Q442" i="34" s="1"/>
  <c r="Q439" i="34"/>
  <c r="Q436" i="34"/>
  <c r="Q427" i="34"/>
  <c r="Q421" i="34"/>
  <c r="Q410" i="34"/>
  <c r="Q402" i="34"/>
  <c r="Q401" i="34" s="1"/>
  <c r="Q392" i="34"/>
  <c r="Q391" i="34" s="1"/>
  <c r="Q382" i="34"/>
  <c r="Q375" i="34"/>
  <c r="Q371" i="34"/>
  <c r="Q356" i="34"/>
  <c r="Q346" i="34"/>
  <c r="Q345" i="34" s="1"/>
  <c r="Q341" i="34"/>
  <c r="Q340" i="34" s="1"/>
  <c r="Q331" i="34"/>
  <c r="Q330" i="34" s="1"/>
  <c r="Q327" i="34"/>
  <c r="Q311" i="34"/>
  <c r="Q310" i="34" s="1"/>
  <c r="Q296" i="34"/>
  <c r="Q288" i="34"/>
  <c r="Q285" i="34"/>
  <c r="Q270" i="34"/>
  <c r="Q266" i="34"/>
  <c r="Q263" i="34"/>
  <c r="Q260" i="34"/>
  <c r="Q255" i="34"/>
  <c r="Q251" i="34"/>
  <c r="Q248" i="34"/>
  <c r="Q245" i="34"/>
  <c r="Q241" i="34"/>
  <c r="Q240" i="34" s="1"/>
  <c r="Q236" i="34"/>
  <c r="Q231" i="34"/>
  <c r="Q221" i="34"/>
  <c r="Q220" i="34" s="1"/>
  <c r="Q217" i="34"/>
  <c r="Q206" i="34"/>
  <c r="Q200" i="34"/>
  <c r="Q195" i="34"/>
  <c r="Q189" i="34"/>
  <c r="Q184" i="34"/>
  <c r="Q174" i="34"/>
  <c r="Q167" i="34"/>
  <c r="Q162" i="34"/>
  <c r="Q153" i="34"/>
  <c r="Q130" i="34"/>
  <c r="Q125" i="34"/>
  <c r="Q124" i="34" s="1"/>
  <c r="Q121" i="34"/>
  <c r="Q116" i="34"/>
  <c r="Q104" i="34"/>
  <c r="Q93" i="34"/>
  <c r="Q89" i="34"/>
  <c r="Q80" i="34" s="1"/>
  <c r="Q79" i="34" s="1"/>
  <c r="Q73" i="34"/>
  <c r="Q58" i="34"/>
  <c r="Q51" i="34"/>
  <c r="Q39" i="34"/>
  <c r="Q34" i="34"/>
  <c r="Q9" i="34"/>
  <c r="N125" i="34"/>
  <c r="N311" i="34"/>
  <c r="N458" i="34"/>
  <c r="N473" i="34"/>
  <c r="N89" i="34"/>
  <c r="R89" i="34" l="1"/>
  <c r="Q309" i="34"/>
  <c r="Q468" i="34"/>
  <c r="Q50" i="34"/>
  <c r="Q129" i="34"/>
  <c r="Q269" i="34"/>
  <c r="Q355" i="34"/>
  <c r="Q409" i="34"/>
  <c r="Q426" i="34"/>
  <c r="Q456" i="34"/>
  <c r="Q8" i="34"/>
  <c r="Q194" i="34"/>
  <c r="Q92" i="34"/>
  <c r="Q115" i="34"/>
  <c r="Q166" i="34"/>
  <c r="Q230" i="34"/>
  <c r="Q254" i="34"/>
  <c r="Q244" i="34"/>
  <c r="Q374" i="34"/>
  <c r="Q344" i="34" l="1"/>
  <c r="Q7" i="34"/>
  <c r="Q91" i="34"/>
  <c r="Q239" i="34"/>
  <c r="Q165" i="34"/>
  <c r="AB212" i="37" l="1"/>
  <c r="AA212" i="37"/>
  <c r="Z212" i="37"/>
  <c r="Y212" i="37"/>
  <c r="AB211" i="37"/>
  <c r="AB210" i="37" s="1"/>
  <c r="AB209" i="37" s="1"/>
  <c r="AB208" i="37" s="1"/>
  <c r="AA211" i="37"/>
  <c r="Z211" i="37"/>
  <c r="Z210" i="37" s="1"/>
  <c r="Z209" i="37" s="1"/>
  <c r="Z208" i="37" s="1"/>
  <c r="Y211" i="37"/>
  <c r="Y210" i="37" s="1"/>
  <c r="X211" i="37"/>
  <c r="W211" i="37"/>
  <c r="V211" i="37"/>
  <c r="U211" i="37"/>
  <c r="T211" i="37"/>
  <c r="T210" i="37" s="1"/>
  <c r="T209" i="37" s="1"/>
  <c r="T208" i="37" s="1"/>
  <c r="S211" i="37"/>
  <c r="R211" i="37"/>
  <c r="R210" i="37" s="1"/>
  <c r="R209" i="37" s="1"/>
  <c r="R208" i="37" s="1"/>
  <c r="Q211" i="37"/>
  <c r="Q210" i="37" s="1"/>
  <c r="P211" i="37"/>
  <c r="O211" i="37"/>
  <c r="N211" i="37"/>
  <c r="M211" i="37"/>
  <c r="L211" i="37"/>
  <c r="L210" i="37" s="1"/>
  <c r="L209" i="37" s="1"/>
  <c r="L208" i="37" s="1"/>
  <c r="K211" i="37"/>
  <c r="J211" i="37"/>
  <c r="J210" i="37" s="1"/>
  <c r="J209" i="37" s="1"/>
  <c r="J208" i="37" s="1"/>
  <c r="I211" i="37"/>
  <c r="I210" i="37" s="1"/>
  <c r="I209" i="37" s="1"/>
  <c r="I208" i="37" s="1"/>
  <c r="AA210" i="37"/>
  <c r="X210" i="37"/>
  <c r="X209" i="37" s="1"/>
  <c r="X208" i="37" s="1"/>
  <c r="W210" i="37"/>
  <c r="W209" i="37" s="1"/>
  <c r="W208" i="37" s="1"/>
  <c r="V210" i="37"/>
  <c r="V209" i="37" s="1"/>
  <c r="V208" i="37" s="1"/>
  <c r="U210" i="37"/>
  <c r="U209" i="37" s="1"/>
  <c r="U208" i="37" s="1"/>
  <c r="S210" i="37"/>
  <c r="P210" i="37"/>
  <c r="P209" i="37" s="1"/>
  <c r="P208" i="37" s="1"/>
  <c r="O210" i="37"/>
  <c r="N210" i="37"/>
  <c r="N209" i="37" s="1"/>
  <c r="N208" i="37" s="1"/>
  <c r="M210" i="37"/>
  <c r="M209" i="37" s="1"/>
  <c r="K210" i="37"/>
  <c r="K209" i="37" s="1"/>
  <c r="K208" i="37" s="1"/>
  <c r="AA209" i="37"/>
  <c r="Y209" i="37"/>
  <c r="Y208" i="37" s="1"/>
  <c r="S209" i="37"/>
  <c r="Q209" i="37"/>
  <c r="Q208" i="37" s="1"/>
  <c r="O209" i="37"/>
  <c r="O208" i="37" s="1"/>
  <c r="AA208" i="37"/>
  <c r="S208" i="37"/>
  <c r="M208" i="37"/>
  <c r="AB207" i="37"/>
  <c r="AB206" i="37" s="1"/>
  <c r="AB205" i="37" s="1"/>
  <c r="AB204" i="37" s="1"/>
  <c r="AA207" i="37"/>
  <c r="AA206" i="37" s="1"/>
  <c r="AA205" i="37" s="1"/>
  <c r="AA204" i="37" s="1"/>
  <c r="Z207" i="37"/>
  <c r="Z206" i="37" s="1"/>
  <c r="Z205" i="37" s="1"/>
  <c r="Z204" i="37" s="1"/>
  <c r="Y207" i="37"/>
  <c r="Y206" i="37" s="1"/>
  <c r="X206" i="37"/>
  <c r="W206" i="37"/>
  <c r="V206" i="37"/>
  <c r="V205" i="37" s="1"/>
  <c r="V204" i="37" s="1"/>
  <c r="U206" i="37"/>
  <c r="U205" i="37" s="1"/>
  <c r="T206" i="37"/>
  <c r="S206" i="37"/>
  <c r="R206" i="37"/>
  <c r="Q206" i="37"/>
  <c r="P206" i="37"/>
  <c r="O206" i="37"/>
  <c r="N206" i="37"/>
  <c r="N205" i="37" s="1"/>
  <c r="N204" i="37" s="1"/>
  <c r="M206" i="37"/>
  <c r="M205" i="37" s="1"/>
  <c r="L206" i="37"/>
  <c r="K206" i="37"/>
  <c r="J206" i="37"/>
  <c r="I206" i="37"/>
  <c r="Y205" i="37"/>
  <c r="Y204" i="37" s="1"/>
  <c r="X205" i="37"/>
  <c r="W205" i="37"/>
  <c r="T205" i="37"/>
  <c r="S205" i="37"/>
  <c r="R205" i="37"/>
  <c r="R204" i="37" s="1"/>
  <c r="Q205" i="37"/>
  <c r="Q204" i="37" s="1"/>
  <c r="P205" i="37"/>
  <c r="O205" i="37"/>
  <c r="L205" i="37"/>
  <c r="K205" i="37"/>
  <c r="J205" i="37"/>
  <c r="J204" i="37" s="1"/>
  <c r="I205" i="37"/>
  <c r="I204" i="37" s="1"/>
  <c r="X204" i="37"/>
  <c r="W204" i="37"/>
  <c r="U204" i="37"/>
  <c r="T204" i="37"/>
  <c r="S204" i="37"/>
  <c r="P204" i="37"/>
  <c r="O204" i="37"/>
  <c r="M204" i="37"/>
  <c r="L204" i="37"/>
  <c r="K204" i="37"/>
  <c r="AB203" i="37"/>
  <c r="AB202" i="37" s="1"/>
  <c r="AB201" i="37" s="1"/>
  <c r="AB200" i="37" s="1"/>
  <c r="AA203" i="37"/>
  <c r="AA202" i="37" s="1"/>
  <c r="AA201" i="37" s="1"/>
  <c r="AA200" i="37" s="1"/>
  <c r="Z203" i="37"/>
  <c r="Z202" i="37" s="1"/>
  <c r="Z201" i="37" s="1"/>
  <c r="Z200" i="37" s="1"/>
  <c r="Y203" i="37"/>
  <c r="Y202" i="37" s="1"/>
  <c r="Y201" i="37" s="1"/>
  <c r="Y200" i="37" s="1"/>
  <c r="X202" i="37"/>
  <c r="W202" i="37"/>
  <c r="V202" i="37"/>
  <c r="V201" i="37" s="1"/>
  <c r="V200" i="37" s="1"/>
  <c r="U202" i="37"/>
  <c r="U201" i="37" s="1"/>
  <c r="T202" i="37"/>
  <c r="S202" i="37"/>
  <c r="R202" i="37"/>
  <c r="Q202" i="37"/>
  <c r="P202" i="37"/>
  <c r="O202" i="37"/>
  <c r="N202" i="37"/>
  <c r="N201" i="37" s="1"/>
  <c r="N200" i="37" s="1"/>
  <c r="M202" i="37"/>
  <c r="M201" i="37" s="1"/>
  <c r="M200" i="37" s="1"/>
  <c r="L202" i="37"/>
  <c r="K202" i="37"/>
  <c r="J202" i="37"/>
  <c r="I202" i="37"/>
  <c r="X201" i="37"/>
  <c r="W201" i="37"/>
  <c r="T201" i="37"/>
  <c r="S201" i="37"/>
  <c r="R201" i="37"/>
  <c r="R200" i="37" s="1"/>
  <c r="Q201" i="37"/>
  <c r="Q200" i="37" s="1"/>
  <c r="P201" i="37"/>
  <c r="O201" i="37"/>
  <c r="L201" i="37"/>
  <c r="K201" i="37"/>
  <c r="J201" i="37"/>
  <c r="J200" i="37" s="1"/>
  <c r="I201" i="37"/>
  <c r="I200" i="37" s="1"/>
  <c r="X200" i="37"/>
  <c r="W200" i="37"/>
  <c r="U200" i="37"/>
  <c r="T200" i="37"/>
  <c r="S200" i="37"/>
  <c r="P200" i="37"/>
  <c r="O200" i="37"/>
  <c r="L200" i="37"/>
  <c r="K200" i="37"/>
  <c r="AB199" i="37"/>
  <c r="AB198" i="37" s="1"/>
  <c r="AB197" i="37" s="1"/>
  <c r="AB196" i="37" s="1"/>
  <c r="AA199" i="37"/>
  <c r="AA198" i="37" s="1"/>
  <c r="AA197" i="37" s="1"/>
  <c r="AA196" i="37" s="1"/>
  <c r="Z199" i="37"/>
  <c r="Z198" i="37" s="1"/>
  <c r="Z197" i="37" s="1"/>
  <c r="Z196" i="37" s="1"/>
  <c r="Y199" i="37"/>
  <c r="Y198" i="37" s="1"/>
  <c r="X198" i="37"/>
  <c r="W198" i="37"/>
  <c r="V198" i="37"/>
  <c r="V197" i="37" s="1"/>
  <c r="V196" i="37" s="1"/>
  <c r="U198" i="37"/>
  <c r="U197" i="37" s="1"/>
  <c r="U196" i="37" s="1"/>
  <c r="T198" i="37"/>
  <c r="S198" i="37"/>
  <c r="R198" i="37"/>
  <c r="Q198" i="37"/>
  <c r="P198" i="37"/>
  <c r="O198" i="37"/>
  <c r="N198" i="37"/>
  <c r="N197" i="37" s="1"/>
  <c r="N196" i="37" s="1"/>
  <c r="M198" i="37"/>
  <c r="M197" i="37" s="1"/>
  <c r="L198" i="37"/>
  <c r="K198" i="37"/>
  <c r="J198" i="37"/>
  <c r="J197" i="37" s="1"/>
  <c r="J196" i="37" s="1"/>
  <c r="I198" i="37"/>
  <c r="Y197" i="37"/>
  <c r="Y196" i="37" s="1"/>
  <c r="X197" i="37"/>
  <c r="W197" i="37"/>
  <c r="T197" i="37"/>
  <c r="S197" i="37"/>
  <c r="R197" i="37"/>
  <c r="R196" i="37" s="1"/>
  <c r="Q197" i="37"/>
  <c r="Q196" i="37" s="1"/>
  <c r="P197" i="37"/>
  <c r="O197" i="37"/>
  <c r="L197" i="37"/>
  <c r="K197" i="37"/>
  <c r="I197" i="37"/>
  <c r="I196" i="37" s="1"/>
  <c r="X196" i="37"/>
  <c r="W196" i="37"/>
  <c r="T196" i="37"/>
  <c r="S196" i="37"/>
  <c r="P196" i="37"/>
  <c r="O196" i="37"/>
  <c r="M196" i="37"/>
  <c r="L196" i="37"/>
  <c r="K196" i="37"/>
  <c r="AB195" i="37"/>
  <c r="AB194" i="37" s="1"/>
  <c r="AB193" i="37" s="1"/>
  <c r="AB192" i="37" s="1"/>
  <c r="AA195" i="37"/>
  <c r="AA194" i="37" s="1"/>
  <c r="AA193" i="37" s="1"/>
  <c r="AA192" i="37" s="1"/>
  <c r="Z195" i="37"/>
  <c r="Z194" i="37" s="1"/>
  <c r="Z193" i="37" s="1"/>
  <c r="Z192" i="37" s="1"/>
  <c r="Y195" i="37"/>
  <c r="Y194" i="37" s="1"/>
  <c r="Y193" i="37" s="1"/>
  <c r="Y192" i="37" s="1"/>
  <c r="X194" i="37"/>
  <c r="W194" i="37"/>
  <c r="V194" i="37"/>
  <c r="V193" i="37" s="1"/>
  <c r="V192" i="37" s="1"/>
  <c r="U194" i="37"/>
  <c r="U193" i="37" s="1"/>
  <c r="T194" i="37"/>
  <c r="S194" i="37"/>
  <c r="R194" i="37"/>
  <c r="Q194" i="37"/>
  <c r="P194" i="37"/>
  <c r="O194" i="37"/>
  <c r="N194" i="37"/>
  <c r="N193" i="37" s="1"/>
  <c r="N192" i="37" s="1"/>
  <c r="M194" i="37"/>
  <c r="M193" i="37" s="1"/>
  <c r="L194" i="37"/>
  <c r="K194" i="37"/>
  <c r="J194" i="37"/>
  <c r="I194" i="37"/>
  <c r="X193" i="37"/>
  <c r="W193" i="37"/>
  <c r="T193" i="37"/>
  <c r="S193" i="37"/>
  <c r="R193" i="37"/>
  <c r="R192" i="37" s="1"/>
  <c r="Q193" i="37"/>
  <c r="Q192" i="37" s="1"/>
  <c r="P193" i="37"/>
  <c r="P192" i="37" s="1"/>
  <c r="O193" i="37"/>
  <c r="L193" i="37"/>
  <c r="K193" i="37"/>
  <c r="J193" i="37"/>
  <c r="J192" i="37" s="1"/>
  <c r="I193" i="37"/>
  <c r="I192" i="37" s="1"/>
  <c r="X192" i="37"/>
  <c r="W192" i="37"/>
  <c r="U192" i="37"/>
  <c r="T192" i="37"/>
  <c r="S192" i="37"/>
  <c r="O192" i="37"/>
  <c r="M192" i="37"/>
  <c r="L192" i="37"/>
  <c r="K192" i="37"/>
  <c r="AB191" i="37"/>
  <c r="AB190" i="37" s="1"/>
  <c r="AB189" i="37" s="1"/>
  <c r="AB188" i="37" s="1"/>
  <c r="AA191" i="37"/>
  <c r="AA190" i="37" s="1"/>
  <c r="AA189" i="37" s="1"/>
  <c r="AA188" i="37" s="1"/>
  <c r="Z191" i="37"/>
  <c r="Z190" i="37" s="1"/>
  <c r="Z189" i="37" s="1"/>
  <c r="Z188" i="37" s="1"/>
  <c r="Y191" i="37"/>
  <c r="Y190" i="37" s="1"/>
  <c r="Y189" i="37" s="1"/>
  <c r="Y188" i="37" s="1"/>
  <c r="X190" i="37"/>
  <c r="W190" i="37"/>
  <c r="V190" i="37"/>
  <c r="V189" i="37" s="1"/>
  <c r="V188" i="37" s="1"/>
  <c r="U190" i="37"/>
  <c r="U189" i="37" s="1"/>
  <c r="T190" i="37"/>
  <c r="S190" i="37"/>
  <c r="R190" i="37"/>
  <c r="Q190" i="37"/>
  <c r="P190" i="37"/>
  <c r="O190" i="37"/>
  <c r="O189" i="37" s="1"/>
  <c r="O188" i="37" s="1"/>
  <c r="N190" i="37"/>
  <c r="N189" i="37" s="1"/>
  <c r="N188" i="37" s="1"/>
  <c r="M190" i="37"/>
  <c r="M189" i="37" s="1"/>
  <c r="L190" i="37"/>
  <c r="K190" i="37"/>
  <c r="J190" i="37"/>
  <c r="I190" i="37"/>
  <c r="X189" i="37"/>
  <c r="W189" i="37"/>
  <c r="T189" i="37"/>
  <c r="S189" i="37"/>
  <c r="R189" i="37"/>
  <c r="R188" i="37" s="1"/>
  <c r="Q189" i="37"/>
  <c r="Q188" i="37" s="1"/>
  <c r="P189" i="37"/>
  <c r="L189" i="37"/>
  <c r="L188" i="37" s="1"/>
  <c r="K189" i="37"/>
  <c r="J189" i="37"/>
  <c r="J188" i="37" s="1"/>
  <c r="I189" i="37"/>
  <c r="I188" i="37" s="1"/>
  <c r="X188" i="37"/>
  <c r="W188" i="37"/>
  <c r="U188" i="37"/>
  <c r="T188" i="37"/>
  <c r="S188" i="37"/>
  <c r="P188" i="37"/>
  <c r="M188" i="37"/>
  <c r="K188" i="37"/>
  <c r="AB187" i="37"/>
  <c r="AB186" i="37" s="1"/>
  <c r="AB185" i="37" s="1"/>
  <c r="AB184" i="37" s="1"/>
  <c r="AA187" i="37"/>
  <c r="AA186" i="37" s="1"/>
  <c r="AA185" i="37" s="1"/>
  <c r="AA184" i="37" s="1"/>
  <c r="Z187" i="37"/>
  <c r="Z186" i="37" s="1"/>
  <c r="Z185" i="37" s="1"/>
  <c r="Z184" i="37" s="1"/>
  <c r="Y187" i="37"/>
  <c r="Y186" i="37" s="1"/>
  <c r="Y185" i="37" s="1"/>
  <c r="Y184" i="37" s="1"/>
  <c r="X186" i="37"/>
  <c r="W186" i="37"/>
  <c r="V186" i="37"/>
  <c r="V185" i="37" s="1"/>
  <c r="V184" i="37" s="1"/>
  <c r="U186" i="37"/>
  <c r="U185" i="37" s="1"/>
  <c r="T186" i="37"/>
  <c r="S186" i="37"/>
  <c r="R186" i="37"/>
  <c r="Q186" i="37"/>
  <c r="P186" i="37"/>
  <c r="O186" i="37"/>
  <c r="N186" i="37"/>
  <c r="N185" i="37" s="1"/>
  <c r="N184" i="37" s="1"/>
  <c r="M186" i="37"/>
  <c r="M185" i="37" s="1"/>
  <c r="L186" i="37"/>
  <c r="K186" i="37"/>
  <c r="J186" i="37"/>
  <c r="I186" i="37"/>
  <c r="X185" i="37"/>
  <c r="W185" i="37"/>
  <c r="T185" i="37"/>
  <c r="S185" i="37"/>
  <c r="R185" i="37"/>
  <c r="R184" i="37" s="1"/>
  <c r="Q185" i="37"/>
  <c r="Q184" i="37" s="1"/>
  <c r="P185" i="37"/>
  <c r="O185" i="37"/>
  <c r="L185" i="37"/>
  <c r="K185" i="37"/>
  <c r="J185" i="37"/>
  <c r="J184" i="37" s="1"/>
  <c r="I185" i="37"/>
  <c r="I184" i="37" s="1"/>
  <c r="X184" i="37"/>
  <c r="W184" i="37"/>
  <c r="U184" i="37"/>
  <c r="T184" i="37"/>
  <c r="S184" i="37"/>
  <c r="P184" i="37"/>
  <c r="O184" i="37"/>
  <c r="M184" i="37"/>
  <c r="L184" i="37"/>
  <c r="K184" i="37"/>
  <c r="AB183" i="37"/>
  <c r="AB182" i="37" s="1"/>
  <c r="AB181" i="37" s="1"/>
  <c r="AB180" i="37" s="1"/>
  <c r="AA183" i="37"/>
  <c r="AA182" i="37" s="1"/>
  <c r="AA181" i="37" s="1"/>
  <c r="AA180" i="37" s="1"/>
  <c r="Z183" i="37"/>
  <c r="Z182" i="37" s="1"/>
  <c r="Z181" i="37" s="1"/>
  <c r="Z180" i="37" s="1"/>
  <c r="Y183" i="37"/>
  <c r="Y182" i="37" s="1"/>
  <c r="Y181" i="37" s="1"/>
  <c r="Y180" i="37" s="1"/>
  <c r="X182" i="37"/>
  <c r="W182" i="37"/>
  <c r="V182" i="37"/>
  <c r="V181" i="37" s="1"/>
  <c r="V180" i="37" s="1"/>
  <c r="U182" i="37"/>
  <c r="U181" i="37" s="1"/>
  <c r="U180" i="37" s="1"/>
  <c r="T182" i="37"/>
  <c r="S182" i="37"/>
  <c r="R182" i="37"/>
  <c r="Q182" i="37"/>
  <c r="P182" i="37"/>
  <c r="P181" i="37" s="1"/>
  <c r="P180" i="37" s="1"/>
  <c r="O182" i="37"/>
  <c r="N182" i="37"/>
  <c r="N181" i="37" s="1"/>
  <c r="N180" i="37" s="1"/>
  <c r="M182" i="37"/>
  <c r="M181" i="37" s="1"/>
  <c r="L182" i="37"/>
  <c r="K182" i="37"/>
  <c r="J182" i="37"/>
  <c r="I182" i="37"/>
  <c r="X181" i="37"/>
  <c r="W181" i="37"/>
  <c r="T181" i="37"/>
  <c r="T180" i="37" s="1"/>
  <c r="S181" i="37"/>
  <c r="R181" i="37"/>
  <c r="R180" i="37" s="1"/>
  <c r="Q181" i="37"/>
  <c r="Q180" i="37" s="1"/>
  <c r="O181" i="37"/>
  <c r="L181" i="37"/>
  <c r="L180" i="37" s="1"/>
  <c r="K181" i="37"/>
  <c r="K180" i="37" s="1"/>
  <c r="J181" i="37"/>
  <c r="J180" i="37" s="1"/>
  <c r="I181" i="37"/>
  <c r="I180" i="37" s="1"/>
  <c r="X180" i="37"/>
  <c r="W180" i="37"/>
  <c r="S180" i="37"/>
  <c r="O180" i="37"/>
  <c r="M180" i="37"/>
  <c r="AB179" i="37"/>
  <c r="AB178" i="37" s="1"/>
  <c r="AB177" i="37" s="1"/>
  <c r="AB176" i="37" s="1"/>
  <c r="AA179" i="37"/>
  <c r="AA178" i="37" s="1"/>
  <c r="AA177" i="37" s="1"/>
  <c r="AA176" i="37" s="1"/>
  <c r="Z179" i="37"/>
  <c r="Z178" i="37" s="1"/>
  <c r="Z177" i="37" s="1"/>
  <c r="Z176" i="37" s="1"/>
  <c r="Y179" i="37"/>
  <c r="Y178" i="37" s="1"/>
  <c r="X178" i="37"/>
  <c r="X177" i="37" s="1"/>
  <c r="X176" i="37" s="1"/>
  <c r="W178" i="37"/>
  <c r="W177" i="37" s="1"/>
  <c r="W176" i="37" s="1"/>
  <c r="V178" i="37"/>
  <c r="V177" i="37" s="1"/>
  <c r="V176" i="37" s="1"/>
  <c r="U178" i="37"/>
  <c r="U177" i="37" s="1"/>
  <c r="U176" i="37" s="1"/>
  <c r="T178" i="37"/>
  <c r="S178" i="37"/>
  <c r="R178" i="37"/>
  <c r="Q178" i="37"/>
  <c r="P178" i="37"/>
  <c r="P177" i="37" s="1"/>
  <c r="P176" i="37" s="1"/>
  <c r="O178" i="37"/>
  <c r="O177" i="37" s="1"/>
  <c r="O176" i="37" s="1"/>
  <c r="N178" i="37"/>
  <c r="N177" i="37" s="1"/>
  <c r="N176" i="37" s="1"/>
  <c r="M178" i="37"/>
  <c r="M177" i="37" s="1"/>
  <c r="M176" i="37" s="1"/>
  <c r="L178" i="37"/>
  <c r="K178" i="37"/>
  <c r="J178" i="37"/>
  <c r="I178" i="37"/>
  <c r="Y177" i="37"/>
  <c r="Y176" i="37" s="1"/>
  <c r="T177" i="37"/>
  <c r="T176" i="37" s="1"/>
  <c r="S177" i="37"/>
  <c r="S176" i="37" s="1"/>
  <c r="R177" i="37"/>
  <c r="R176" i="37" s="1"/>
  <c r="Q177" i="37"/>
  <c r="Q176" i="37" s="1"/>
  <c r="L177" i="37"/>
  <c r="L176" i="37" s="1"/>
  <c r="K177" i="37"/>
  <c r="K176" i="37" s="1"/>
  <c r="J177" i="37"/>
  <c r="J176" i="37" s="1"/>
  <c r="I177" i="37"/>
  <c r="I176" i="37" s="1"/>
  <c r="AB175" i="37"/>
  <c r="AB174" i="37" s="1"/>
  <c r="AB173" i="37" s="1"/>
  <c r="AB172" i="37" s="1"/>
  <c r="AA175" i="37"/>
  <c r="AA174" i="37" s="1"/>
  <c r="AA173" i="37" s="1"/>
  <c r="AA172" i="37" s="1"/>
  <c r="Z175" i="37"/>
  <c r="Z174" i="37" s="1"/>
  <c r="Z173" i="37" s="1"/>
  <c r="Z172" i="37" s="1"/>
  <c r="Y175" i="37"/>
  <c r="Y174" i="37" s="1"/>
  <c r="Y173" i="37" s="1"/>
  <c r="Y172" i="37" s="1"/>
  <c r="X174" i="37"/>
  <c r="X173" i="37" s="1"/>
  <c r="X172" i="37" s="1"/>
  <c r="W174" i="37"/>
  <c r="W173" i="37" s="1"/>
  <c r="W172" i="37" s="1"/>
  <c r="V174" i="37"/>
  <c r="V173" i="37" s="1"/>
  <c r="V172" i="37" s="1"/>
  <c r="U174" i="37"/>
  <c r="U173" i="37" s="1"/>
  <c r="T174" i="37"/>
  <c r="S174" i="37"/>
  <c r="R174" i="37"/>
  <c r="Q174" i="37"/>
  <c r="P174" i="37"/>
  <c r="P173" i="37" s="1"/>
  <c r="P172" i="37" s="1"/>
  <c r="O174" i="37"/>
  <c r="O173" i="37" s="1"/>
  <c r="O172" i="37" s="1"/>
  <c r="N174" i="37"/>
  <c r="N173" i="37" s="1"/>
  <c r="N172" i="37" s="1"/>
  <c r="M174" i="37"/>
  <c r="M173" i="37" s="1"/>
  <c r="L174" i="37"/>
  <c r="K174" i="37"/>
  <c r="J174" i="37"/>
  <c r="I174" i="37"/>
  <c r="T173" i="37"/>
  <c r="T172" i="37" s="1"/>
  <c r="S173" i="37"/>
  <c r="S172" i="37" s="1"/>
  <c r="R173" i="37"/>
  <c r="R172" i="37" s="1"/>
  <c r="Q173" i="37"/>
  <c r="Q172" i="37" s="1"/>
  <c r="L173" i="37"/>
  <c r="L172" i="37" s="1"/>
  <c r="K173" i="37"/>
  <c r="K172" i="37" s="1"/>
  <c r="J173" i="37"/>
  <c r="J172" i="37" s="1"/>
  <c r="I173" i="37"/>
  <c r="I172" i="37" s="1"/>
  <c r="U172" i="37"/>
  <c r="M172" i="37"/>
  <c r="AB171" i="37"/>
  <c r="AB170" i="37" s="1"/>
  <c r="AB169" i="37" s="1"/>
  <c r="AB168" i="37" s="1"/>
  <c r="AA171" i="37"/>
  <c r="AA170" i="37" s="1"/>
  <c r="AA169" i="37" s="1"/>
  <c r="AA168" i="37" s="1"/>
  <c r="Z171" i="37"/>
  <c r="Z170" i="37" s="1"/>
  <c r="Z169" i="37" s="1"/>
  <c r="Z168" i="37" s="1"/>
  <c r="Y171" i="37"/>
  <c r="Y170" i="37" s="1"/>
  <c r="X170" i="37"/>
  <c r="X169" i="37" s="1"/>
  <c r="X168" i="37" s="1"/>
  <c r="X167" i="37" s="1"/>
  <c r="W170" i="37"/>
  <c r="W169" i="37" s="1"/>
  <c r="W168" i="37" s="1"/>
  <c r="V170" i="37"/>
  <c r="V169" i="37" s="1"/>
  <c r="V168" i="37" s="1"/>
  <c r="U170" i="37"/>
  <c r="U169" i="37" s="1"/>
  <c r="T170" i="37"/>
  <c r="S170" i="37"/>
  <c r="R170" i="37"/>
  <c r="Q170" i="37"/>
  <c r="P170" i="37"/>
  <c r="P169" i="37" s="1"/>
  <c r="P168" i="37" s="1"/>
  <c r="O170" i="37"/>
  <c r="O169" i="37" s="1"/>
  <c r="O168" i="37" s="1"/>
  <c r="O167" i="37" s="1"/>
  <c r="N170" i="37"/>
  <c r="N169" i="37" s="1"/>
  <c r="N168" i="37" s="1"/>
  <c r="M170" i="37"/>
  <c r="M169" i="37" s="1"/>
  <c r="L170" i="37"/>
  <c r="L169" i="37" s="1"/>
  <c r="L168" i="37" s="1"/>
  <c r="K170" i="37"/>
  <c r="J170" i="37"/>
  <c r="I170" i="37"/>
  <c r="Y169" i="37"/>
  <c r="Y168" i="37" s="1"/>
  <c r="Y167" i="37" s="1"/>
  <c r="T169" i="37"/>
  <c r="T168" i="37" s="1"/>
  <c r="S169" i="37"/>
  <c r="S168" i="37" s="1"/>
  <c r="S167" i="37" s="1"/>
  <c r="R169" i="37"/>
  <c r="R168" i="37" s="1"/>
  <c r="Q169" i="37"/>
  <c r="Q168" i="37" s="1"/>
  <c r="K169" i="37"/>
  <c r="K168" i="37" s="1"/>
  <c r="J169" i="37"/>
  <c r="J168" i="37" s="1"/>
  <c r="I169" i="37"/>
  <c r="I168" i="37" s="1"/>
  <c r="I167" i="37" s="1"/>
  <c r="U168" i="37"/>
  <c r="M168" i="37"/>
  <c r="AB166" i="37"/>
  <c r="AA166" i="37"/>
  <c r="Z166" i="37"/>
  <c r="Y166" i="37"/>
  <c r="AB165" i="37"/>
  <c r="AB164" i="37" s="1"/>
  <c r="AB163" i="37" s="1"/>
  <c r="AA165" i="37"/>
  <c r="Z165" i="37"/>
  <c r="Z164" i="37" s="1"/>
  <c r="Z163" i="37" s="1"/>
  <c r="Y165" i="37"/>
  <c r="Y164" i="37" s="1"/>
  <c r="Y163" i="37" s="1"/>
  <c r="X165" i="37"/>
  <c r="X164" i="37" s="1"/>
  <c r="X163" i="37" s="1"/>
  <c r="W165" i="37"/>
  <c r="V165" i="37"/>
  <c r="U165" i="37"/>
  <c r="T165" i="37"/>
  <c r="T164" i="37" s="1"/>
  <c r="T163" i="37" s="1"/>
  <c r="S165" i="37"/>
  <c r="R165" i="37"/>
  <c r="R164" i="37" s="1"/>
  <c r="R163" i="37" s="1"/>
  <c r="Q165" i="37"/>
  <c r="Q164" i="37" s="1"/>
  <c r="Q163" i="37" s="1"/>
  <c r="P165" i="37"/>
  <c r="P164" i="37" s="1"/>
  <c r="P163" i="37" s="1"/>
  <c r="O165" i="37"/>
  <c r="N165" i="37"/>
  <c r="M165" i="37"/>
  <c r="L165" i="37"/>
  <c r="L164" i="37" s="1"/>
  <c r="L163" i="37" s="1"/>
  <c r="K165" i="37"/>
  <c r="J165" i="37"/>
  <c r="J164" i="37" s="1"/>
  <c r="J163" i="37" s="1"/>
  <c r="I165" i="37"/>
  <c r="I164" i="37" s="1"/>
  <c r="I163" i="37" s="1"/>
  <c r="AA164" i="37"/>
  <c r="AA163" i="37" s="1"/>
  <c r="W164" i="37"/>
  <c r="V164" i="37"/>
  <c r="V163" i="37" s="1"/>
  <c r="U164" i="37"/>
  <c r="U163" i="37" s="1"/>
  <c r="S164" i="37"/>
  <c r="O164" i="37"/>
  <c r="N164" i="37"/>
  <c r="N163" i="37" s="1"/>
  <c r="M164" i="37"/>
  <c r="M163" i="37" s="1"/>
  <c r="K164" i="37"/>
  <c r="W163" i="37"/>
  <c r="S163" i="37"/>
  <c r="O163" i="37"/>
  <c r="K163" i="37"/>
  <c r="AB162" i="37"/>
  <c r="AA162" i="37"/>
  <c r="AA161" i="37" s="1"/>
  <c r="AA160" i="37" s="1"/>
  <c r="AA159" i="37" s="1"/>
  <c r="Z162" i="37"/>
  <c r="Y162" i="37"/>
  <c r="AB161" i="37"/>
  <c r="AB160" i="37" s="1"/>
  <c r="AB159" i="37" s="1"/>
  <c r="Z161" i="37"/>
  <c r="Z160" i="37" s="1"/>
  <c r="Z159" i="37" s="1"/>
  <c r="Y161" i="37"/>
  <c r="Y160" i="37" s="1"/>
  <c r="Y159" i="37" s="1"/>
  <c r="X161" i="37"/>
  <c r="W161" i="37"/>
  <c r="V161" i="37"/>
  <c r="U161" i="37"/>
  <c r="T161" i="37"/>
  <c r="S161" i="37"/>
  <c r="R161" i="37"/>
  <c r="R160" i="37" s="1"/>
  <c r="R159" i="37" s="1"/>
  <c r="Q161" i="37"/>
  <c r="Q160" i="37" s="1"/>
  <c r="Q159" i="37" s="1"/>
  <c r="P161" i="37"/>
  <c r="O161" i="37"/>
  <c r="O160" i="37" s="1"/>
  <c r="O159" i="37" s="1"/>
  <c r="N161" i="37"/>
  <c r="M161" i="37"/>
  <c r="L161" i="37"/>
  <c r="K161" i="37"/>
  <c r="K160" i="37" s="1"/>
  <c r="K159" i="37" s="1"/>
  <c r="J161" i="37"/>
  <c r="J160" i="37" s="1"/>
  <c r="J159" i="37" s="1"/>
  <c r="I161" i="37"/>
  <c r="I160" i="37" s="1"/>
  <c r="X160" i="37"/>
  <c r="W160" i="37"/>
  <c r="W159" i="37" s="1"/>
  <c r="V160" i="37"/>
  <c r="V159" i="37" s="1"/>
  <c r="U160" i="37"/>
  <c r="U159" i="37" s="1"/>
  <c r="T160" i="37"/>
  <c r="T159" i="37" s="1"/>
  <c r="S160" i="37"/>
  <c r="P160" i="37"/>
  <c r="N160" i="37"/>
  <c r="N159" i="37" s="1"/>
  <c r="M160" i="37"/>
  <c r="M159" i="37" s="1"/>
  <c r="L160" i="37"/>
  <c r="L159" i="37" s="1"/>
  <c r="X159" i="37"/>
  <c r="S159" i="37"/>
  <c r="P159" i="37"/>
  <c r="I159" i="37"/>
  <c r="AB158" i="37"/>
  <c r="AB157" i="37" s="1"/>
  <c r="AB156" i="37" s="1"/>
  <c r="AB155" i="37" s="1"/>
  <c r="AA158" i="37"/>
  <c r="AA157" i="37" s="1"/>
  <c r="AA156" i="37" s="1"/>
  <c r="AA155" i="37" s="1"/>
  <c r="Z158" i="37"/>
  <c r="Z157" i="37" s="1"/>
  <c r="Z156" i="37" s="1"/>
  <c r="Z155" i="37" s="1"/>
  <c r="Y158" i="37"/>
  <c r="Y157" i="37" s="1"/>
  <c r="Y156" i="37" s="1"/>
  <c r="Y155" i="37" s="1"/>
  <c r="X157" i="37"/>
  <c r="W157" i="37"/>
  <c r="V157" i="37"/>
  <c r="U157" i="37"/>
  <c r="T157" i="37"/>
  <c r="S157" i="37"/>
  <c r="R157" i="37"/>
  <c r="Q157" i="37"/>
  <c r="Q156" i="37" s="1"/>
  <c r="P157" i="37"/>
  <c r="O157" i="37"/>
  <c r="N157" i="37"/>
  <c r="M157" i="37"/>
  <c r="L157" i="37"/>
  <c r="K157" i="37"/>
  <c r="J157" i="37"/>
  <c r="I157" i="37"/>
  <c r="I156" i="37" s="1"/>
  <c r="X156" i="37"/>
  <c r="W156" i="37"/>
  <c r="V156" i="37"/>
  <c r="U156" i="37"/>
  <c r="U155" i="37" s="1"/>
  <c r="T156" i="37"/>
  <c r="S156" i="37"/>
  <c r="R156" i="37"/>
  <c r="P156" i="37"/>
  <c r="O156" i="37"/>
  <c r="N156" i="37"/>
  <c r="M156" i="37"/>
  <c r="M155" i="37" s="1"/>
  <c r="L156" i="37"/>
  <c r="L155" i="37" s="1"/>
  <c r="K156" i="37"/>
  <c r="J156" i="37"/>
  <c r="X155" i="37"/>
  <c r="W155" i="37"/>
  <c r="V155" i="37"/>
  <c r="T155" i="37"/>
  <c r="S155" i="37"/>
  <c r="R155" i="37"/>
  <c r="Q155" i="37"/>
  <c r="P155" i="37"/>
  <c r="O155" i="37"/>
  <c r="N155" i="37"/>
  <c r="K155" i="37"/>
  <c r="J155" i="37"/>
  <c r="I155" i="37"/>
  <c r="AB154" i="37"/>
  <c r="AA154" i="37"/>
  <c r="AA153" i="37" s="1"/>
  <c r="Z154" i="37"/>
  <c r="Z153" i="37" s="1"/>
  <c r="Y154" i="37"/>
  <c r="AB153" i="37"/>
  <c r="AB152" i="37" s="1"/>
  <c r="AB151" i="37" s="1"/>
  <c r="Y153" i="37"/>
  <c r="Y152" i="37" s="1"/>
  <c r="X153" i="37"/>
  <c r="W153" i="37"/>
  <c r="W152" i="37" s="1"/>
  <c r="W151" i="37" s="1"/>
  <c r="V153" i="37"/>
  <c r="V152" i="37" s="1"/>
  <c r="U153" i="37"/>
  <c r="T153" i="37"/>
  <c r="T152" i="37" s="1"/>
  <c r="T151" i="37" s="1"/>
  <c r="S153" i="37"/>
  <c r="R153" i="37"/>
  <c r="Q153" i="37"/>
  <c r="Q152" i="37" s="1"/>
  <c r="Q151" i="37" s="1"/>
  <c r="P153" i="37"/>
  <c r="O153" i="37"/>
  <c r="O152" i="37" s="1"/>
  <c r="O151" i="37" s="1"/>
  <c r="N153" i="37"/>
  <c r="N152" i="37" s="1"/>
  <c r="M153" i="37"/>
  <c r="L153" i="37"/>
  <c r="L152" i="37" s="1"/>
  <c r="L151" i="37" s="1"/>
  <c r="K153" i="37"/>
  <c r="J153" i="37"/>
  <c r="I153" i="37"/>
  <c r="I152" i="37" s="1"/>
  <c r="AA152" i="37"/>
  <c r="AA151" i="37" s="1"/>
  <c r="Z152" i="37"/>
  <c r="Z151" i="37" s="1"/>
  <c r="X152" i="37"/>
  <c r="X151" i="37" s="1"/>
  <c r="U152" i="37"/>
  <c r="U151" i="37" s="1"/>
  <c r="S152" i="37"/>
  <c r="S151" i="37" s="1"/>
  <c r="R152" i="37"/>
  <c r="R151" i="37" s="1"/>
  <c r="P152" i="37"/>
  <c r="P151" i="37" s="1"/>
  <c r="M152" i="37"/>
  <c r="M151" i="37" s="1"/>
  <c r="K152" i="37"/>
  <c r="K151" i="37" s="1"/>
  <c r="J152" i="37"/>
  <c r="J151" i="37" s="1"/>
  <c r="Y151" i="37"/>
  <c r="V151" i="37"/>
  <c r="N151" i="37"/>
  <c r="I151" i="37"/>
  <c r="AB150" i="37"/>
  <c r="AA150" i="37"/>
  <c r="AA149" i="37" s="1"/>
  <c r="AA148" i="37" s="1"/>
  <c r="AA147" i="37" s="1"/>
  <c r="Z150" i="37"/>
  <c r="Z149" i="37" s="1"/>
  <c r="Y150" i="37"/>
  <c r="AB149" i="37"/>
  <c r="AB148" i="37" s="1"/>
  <c r="AB147" i="37" s="1"/>
  <c r="Y149" i="37"/>
  <c r="Y148" i="37" s="1"/>
  <c r="X149" i="37"/>
  <c r="W149" i="37"/>
  <c r="W148" i="37" s="1"/>
  <c r="W147" i="37" s="1"/>
  <c r="V149" i="37"/>
  <c r="V148" i="37" s="1"/>
  <c r="V147" i="37" s="1"/>
  <c r="U149" i="37"/>
  <c r="T149" i="37"/>
  <c r="T148" i="37" s="1"/>
  <c r="T147" i="37" s="1"/>
  <c r="S149" i="37"/>
  <c r="R149" i="37"/>
  <c r="Q149" i="37"/>
  <c r="Q148" i="37" s="1"/>
  <c r="P149" i="37"/>
  <c r="O149" i="37"/>
  <c r="O148" i="37" s="1"/>
  <c r="O147" i="37" s="1"/>
  <c r="N149" i="37"/>
  <c r="N148" i="37" s="1"/>
  <c r="N147" i="37" s="1"/>
  <c r="M149" i="37"/>
  <c r="M148" i="37" s="1"/>
  <c r="M147" i="37" s="1"/>
  <c r="L149" i="37"/>
  <c r="L148" i="37" s="1"/>
  <c r="L147" i="37" s="1"/>
  <c r="K149" i="37"/>
  <c r="J149" i="37"/>
  <c r="I149" i="37"/>
  <c r="I148" i="37" s="1"/>
  <c r="I147" i="37" s="1"/>
  <c r="Z148" i="37"/>
  <c r="Z147" i="37" s="1"/>
  <c r="X148" i="37"/>
  <c r="X147" i="37" s="1"/>
  <c r="U148" i="37"/>
  <c r="U147" i="37" s="1"/>
  <c r="S148" i="37"/>
  <c r="S147" i="37" s="1"/>
  <c r="R148" i="37"/>
  <c r="R147" i="37" s="1"/>
  <c r="P148" i="37"/>
  <c r="P147" i="37" s="1"/>
  <c r="K148" i="37"/>
  <c r="K147" i="37" s="1"/>
  <c r="J148" i="37"/>
  <c r="J147" i="37" s="1"/>
  <c r="Y147" i="37"/>
  <c r="Q147" i="37"/>
  <c r="AB146" i="37"/>
  <c r="AA146" i="37"/>
  <c r="AA145" i="37" s="1"/>
  <c r="AA144" i="37" s="1"/>
  <c r="AA143" i="37" s="1"/>
  <c r="Z146" i="37"/>
  <c r="Z145" i="37" s="1"/>
  <c r="Z144" i="37" s="1"/>
  <c r="Z143" i="37" s="1"/>
  <c r="Y146" i="37"/>
  <c r="AB145" i="37"/>
  <c r="AB144" i="37" s="1"/>
  <c r="AB143" i="37" s="1"/>
  <c r="Y145" i="37"/>
  <c r="Y144" i="37" s="1"/>
  <c r="X145" i="37"/>
  <c r="W145" i="37"/>
  <c r="W144" i="37" s="1"/>
  <c r="V145" i="37"/>
  <c r="V144" i="37" s="1"/>
  <c r="V143" i="37" s="1"/>
  <c r="U145" i="37"/>
  <c r="U144" i="37" s="1"/>
  <c r="U143" i="37" s="1"/>
  <c r="T145" i="37"/>
  <c r="T144" i="37" s="1"/>
  <c r="T143" i="37" s="1"/>
  <c r="S145" i="37"/>
  <c r="R145" i="37"/>
  <c r="Q145" i="37"/>
  <c r="Q144" i="37" s="1"/>
  <c r="P145" i="37"/>
  <c r="O145" i="37"/>
  <c r="O144" i="37" s="1"/>
  <c r="N145" i="37"/>
  <c r="N144" i="37" s="1"/>
  <c r="N143" i="37" s="1"/>
  <c r="M145" i="37"/>
  <c r="M144" i="37" s="1"/>
  <c r="M143" i="37" s="1"/>
  <c r="L145" i="37"/>
  <c r="L144" i="37" s="1"/>
  <c r="L143" i="37" s="1"/>
  <c r="K145" i="37"/>
  <c r="J145" i="37"/>
  <c r="I145" i="37"/>
  <c r="I144" i="37" s="1"/>
  <c r="X144" i="37"/>
  <c r="X143" i="37" s="1"/>
  <c r="S144" i="37"/>
  <c r="S143" i="37" s="1"/>
  <c r="R144" i="37"/>
  <c r="R143" i="37" s="1"/>
  <c r="P144" i="37"/>
  <c r="P143" i="37" s="1"/>
  <c r="K144" i="37"/>
  <c r="K143" i="37" s="1"/>
  <c r="J144" i="37"/>
  <c r="J143" i="37" s="1"/>
  <c r="Y143" i="37"/>
  <c r="W143" i="37"/>
  <c r="Q143" i="37"/>
  <c r="O143" i="37"/>
  <c r="I143" i="37"/>
  <c r="AB142" i="37"/>
  <c r="AA142" i="37"/>
  <c r="Z142" i="37"/>
  <c r="Z141" i="37" s="1"/>
  <c r="Z140" i="37" s="1"/>
  <c r="Z139" i="37" s="1"/>
  <c r="Y142" i="37"/>
  <c r="Y141" i="37" s="1"/>
  <c r="Y140" i="37" s="1"/>
  <c r="Y139" i="37" s="1"/>
  <c r="X141" i="37"/>
  <c r="W141" i="37"/>
  <c r="W140" i="37" s="1"/>
  <c r="W139" i="37" s="1"/>
  <c r="V141" i="37"/>
  <c r="U141" i="37"/>
  <c r="U140" i="37" s="1"/>
  <c r="U139" i="37" s="1"/>
  <c r="T141" i="37"/>
  <c r="S141" i="37"/>
  <c r="S140" i="37" s="1"/>
  <c r="S139" i="37" s="1"/>
  <c r="S138" i="37" s="1"/>
  <c r="R141" i="37"/>
  <c r="R140" i="37" s="1"/>
  <c r="R139" i="37" s="1"/>
  <c r="Q141" i="37"/>
  <c r="P141" i="37"/>
  <c r="O141" i="37"/>
  <c r="O140" i="37" s="1"/>
  <c r="O139" i="37" s="1"/>
  <c r="N141" i="37"/>
  <c r="N140" i="37" s="1"/>
  <c r="N139" i="37" s="1"/>
  <c r="M141" i="37"/>
  <c r="M140" i="37" s="1"/>
  <c r="M139" i="37" s="1"/>
  <c r="L141" i="37"/>
  <c r="AB141" i="37" s="1"/>
  <c r="K141" i="37"/>
  <c r="K140" i="37" s="1"/>
  <c r="K139" i="37" s="1"/>
  <c r="K138" i="37" s="1"/>
  <c r="J141" i="37"/>
  <c r="J140" i="37" s="1"/>
  <c r="J139" i="37" s="1"/>
  <c r="I141" i="37"/>
  <c r="X140" i="37"/>
  <c r="X139" i="37" s="1"/>
  <c r="X138" i="37" s="1"/>
  <c r="V140" i="37"/>
  <c r="V139" i="37" s="1"/>
  <c r="T140" i="37"/>
  <c r="T139" i="37" s="1"/>
  <c r="Q140" i="37"/>
  <c r="P140" i="37"/>
  <c r="I140" i="37"/>
  <c r="I139" i="37" s="1"/>
  <c r="Q139" i="37"/>
  <c r="P139" i="37"/>
  <c r="AB137" i="37"/>
  <c r="AA137" i="37"/>
  <c r="Z137" i="37"/>
  <c r="Z136" i="37" s="1"/>
  <c r="Z135" i="37" s="1"/>
  <c r="Z134" i="37" s="1"/>
  <c r="Y137" i="37"/>
  <c r="Y136" i="37"/>
  <c r="Y135" i="37" s="1"/>
  <c r="Y134" i="37" s="1"/>
  <c r="X136" i="37"/>
  <c r="X135" i="37" s="1"/>
  <c r="X134" i="37" s="1"/>
  <c r="W136" i="37"/>
  <c r="V136" i="37"/>
  <c r="V135" i="37" s="1"/>
  <c r="V134" i="37" s="1"/>
  <c r="U136" i="37"/>
  <c r="U135" i="37" s="1"/>
  <c r="U134" i="37" s="1"/>
  <c r="T136" i="37"/>
  <c r="S136" i="37"/>
  <c r="R136" i="37"/>
  <c r="Q136" i="37"/>
  <c r="Q135" i="37" s="1"/>
  <c r="Q134" i="37" s="1"/>
  <c r="P136" i="37"/>
  <c r="P135" i="37" s="1"/>
  <c r="P134" i="37" s="1"/>
  <c r="O136" i="37"/>
  <c r="N136" i="37"/>
  <c r="N135" i="37" s="1"/>
  <c r="N134" i="37" s="1"/>
  <c r="M136" i="37"/>
  <c r="L136" i="37"/>
  <c r="K136" i="37"/>
  <c r="AA136" i="37" s="1"/>
  <c r="J136" i="37"/>
  <c r="I136" i="37"/>
  <c r="I135" i="37" s="1"/>
  <c r="I134" i="37" s="1"/>
  <c r="W135" i="37"/>
  <c r="T135" i="37"/>
  <c r="S135" i="37"/>
  <c r="S134" i="37" s="1"/>
  <c r="R135" i="37"/>
  <c r="O135" i="37"/>
  <c r="M135" i="37"/>
  <c r="M134" i="37" s="1"/>
  <c r="L135" i="37"/>
  <c r="K135" i="37"/>
  <c r="K134" i="37" s="1"/>
  <c r="J135" i="37"/>
  <c r="J134" i="37" s="1"/>
  <c r="W134" i="37"/>
  <c r="T134" i="37"/>
  <c r="R134" i="37"/>
  <c r="O134" i="37"/>
  <c r="L134" i="37"/>
  <c r="AB133" i="37"/>
  <c r="AA133" i="37"/>
  <c r="AA132" i="37" s="1"/>
  <c r="Z133" i="37"/>
  <c r="Y133" i="37"/>
  <c r="Y132" i="37" s="1"/>
  <c r="Y131" i="37" s="1"/>
  <c r="Y130" i="37" s="1"/>
  <c r="AB132" i="37"/>
  <c r="AB131" i="37" s="1"/>
  <c r="Z132" i="37"/>
  <c r="Z131" i="37" s="1"/>
  <c r="Z130" i="37" s="1"/>
  <c r="X132" i="37"/>
  <c r="W132" i="37"/>
  <c r="W131" i="37" s="1"/>
  <c r="V132" i="37"/>
  <c r="U132" i="37"/>
  <c r="U131" i="37" s="1"/>
  <c r="T132" i="37"/>
  <c r="T131" i="37" s="1"/>
  <c r="T130" i="37" s="1"/>
  <c r="S132" i="37"/>
  <c r="S131" i="37" s="1"/>
  <c r="S130" i="37" s="1"/>
  <c r="R132" i="37"/>
  <c r="R131" i="37" s="1"/>
  <c r="Q132" i="37"/>
  <c r="P132" i="37"/>
  <c r="O132" i="37"/>
  <c r="O131" i="37" s="1"/>
  <c r="N132" i="37"/>
  <c r="M132" i="37"/>
  <c r="M131" i="37" s="1"/>
  <c r="M130" i="37" s="1"/>
  <c r="L132" i="37"/>
  <c r="L131" i="37" s="1"/>
  <c r="L130" i="37" s="1"/>
  <c r="K132" i="37"/>
  <c r="K131" i="37" s="1"/>
  <c r="K130" i="37" s="1"/>
  <c r="J132" i="37"/>
  <c r="J131" i="37" s="1"/>
  <c r="I132" i="37"/>
  <c r="AA131" i="37"/>
  <c r="AA130" i="37" s="1"/>
  <c r="X131" i="37"/>
  <c r="X130" i="37" s="1"/>
  <c r="V131" i="37"/>
  <c r="V130" i="37" s="1"/>
  <c r="Q131" i="37"/>
  <c r="Q130" i="37" s="1"/>
  <c r="P131" i="37"/>
  <c r="P130" i="37" s="1"/>
  <c r="N131" i="37"/>
  <c r="N130" i="37" s="1"/>
  <c r="I131" i="37"/>
  <c r="I130" i="37" s="1"/>
  <c r="AB130" i="37"/>
  <c r="W130" i="37"/>
  <c r="U130" i="37"/>
  <c r="R130" i="37"/>
  <c r="O130" i="37"/>
  <c r="J130" i="37"/>
  <c r="AB129" i="37"/>
  <c r="AA129" i="37"/>
  <c r="AA128" i="37" s="1"/>
  <c r="AA127" i="37" s="1"/>
  <c r="AA126" i="37" s="1"/>
  <c r="Z129" i="37"/>
  <c r="Y129" i="37"/>
  <c r="Y128" i="37" s="1"/>
  <c r="Y127" i="37" s="1"/>
  <c r="Y126" i="37" s="1"/>
  <c r="AB128" i="37"/>
  <c r="AB127" i="37" s="1"/>
  <c r="AB126" i="37" s="1"/>
  <c r="Z128" i="37"/>
  <c r="Z127" i="37" s="1"/>
  <c r="X128" i="37"/>
  <c r="W128" i="37"/>
  <c r="W127" i="37" s="1"/>
  <c r="W126" i="37" s="1"/>
  <c r="V128" i="37"/>
  <c r="U128" i="37"/>
  <c r="U127" i="37" s="1"/>
  <c r="U126" i="37" s="1"/>
  <c r="T128" i="37"/>
  <c r="T127" i="37" s="1"/>
  <c r="S128" i="37"/>
  <c r="R128" i="37"/>
  <c r="R127" i="37" s="1"/>
  <c r="R126" i="37" s="1"/>
  <c r="Q128" i="37"/>
  <c r="P128" i="37"/>
  <c r="O128" i="37"/>
  <c r="O127" i="37" s="1"/>
  <c r="O126" i="37" s="1"/>
  <c r="N128" i="37"/>
  <c r="M128" i="37"/>
  <c r="M127" i="37" s="1"/>
  <c r="M126" i="37" s="1"/>
  <c r="L128" i="37"/>
  <c r="L127" i="37" s="1"/>
  <c r="K128" i="37"/>
  <c r="J128" i="37"/>
  <c r="J127" i="37" s="1"/>
  <c r="I128" i="37"/>
  <c r="X127" i="37"/>
  <c r="X126" i="37" s="1"/>
  <c r="V127" i="37"/>
  <c r="V126" i="37" s="1"/>
  <c r="S127" i="37"/>
  <c r="S126" i="37" s="1"/>
  <c r="Q127" i="37"/>
  <c r="Q126" i="37" s="1"/>
  <c r="P127" i="37"/>
  <c r="P126" i="37" s="1"/>
  <c r="N127" i="37"/>
  <c r="N126" i="37" s="1"/>
  <c r="K127" i="37"/>
  <c r="K126" i="37" s="1"/>
  <c r="I127" i="37"/>
  <c r="I126" i="37" s="1"/>
  <c r="Z126" i="37"/>
  <c r="T126" i="37"/>
  <c r="L126" i="37"/>
  <c r="J126" i="37"/>
  <c r="AB125" i="37"/>
  <c r="AA125" i="37"/>
  <c r="AA124" i="37" s="1"/>
  <c r="Z125" i="37"/>
  <c r="Y125" i="37"/>
  <c r="Y124" i="37" s="1"/>
  <c r="AB124" i="37"/>
  <c r="AB123" i="37" s="1"/>
  <c r="Z124" i="37"/>
  <c r="Z123" i="37" s="1"/>
  <c r="X124" i="37"/>
  <c r="W124" i="37"/>
  <c r="W123" i="37" s="1"/>
  <c r="W122" i="37" s="1"/>
  <c r="W121" i="37" s="1"/>
  <c r="V124" i="37"/>
  <c r="U124" i="37"/>
  <c r="U123" i="37" s="1"/>
  <c r="U122" i="37" s="1"/>
  <c r="T124" i="37"/>
  <c r="T123" i="37" s="1"/>
  <c r="T122" i="37" s="1"/>
  <c r="S124" i="37"/>
  <c r="R124" i="37"/>
  <c r="R123" i="37" s="1"/>
  <c r="Q124" i="37"/>
  <c r="P124" i="37"/>
  <c r="O124" i="37"/>
  <c r="O123" i="37" s="1"/>
  <c r="N124" i="37"/>
  <c r="M124" i="37"/>
  <c r="M123" i="37" s="1"/>
  <c r="L124" i="37"/>
  <c r="L123" i="37" s="1"/>
  <c r="L122" i="37" s="1"/>
  <c r="K124" i="37"/>
  <c r="J124" i="37"/>
  <c r="J123" i="37" s="1"/>
  <c r="I124" i="37"/>
  <c r="AA123" i="37"/>
  <c r="AA122" i="37" s="1"/>
  <c r="Y123" i="37"/>
  <c r="Y122" i="37" s="1"/>
  <c r="X123" i="37"/>
  <c r="X122" i="37" s="1"/>
  <c r="V123" i="37"/>
  <c r="V122" i="37" s="1"/>
  <c r="S123" i="37"/>
  <c r="S122" i="37" s="1"/>
  <c r="Q123" i="37"/>
  <c r="Q122" i="37" s="1"/>
  <c r="P123" i="37"/>
  <c r="P122" i="37" s="1"/>
  <c r="N123" i="37"/>
  <c r="N122" i="37" s="1"/>
  <c r="N121" i="37" s="1"/>
  <c r="K123" i="37"/>
  <c r="K122" i="37" s="1"/>
  <c r="I123" i="37"/>
  <c r="I122" i="37" s="1"/>
  <c r="I121" i="37" s="1"/>
  <c r="AB122" i="37"/>
  <c r="Z122" i="37"/>
  <c r="R122" i="37"/>
  <c r="O122" i="37"/>
  <c r="O121" i="37" s="1"/>
  <c r="M122" i="37"/>
  <c r="M121" i="37" s="1"/>
  <c r="J122" i="37"/>
  <c r="Y121" i="37"/>
  <c r="Q121" i="37"/>
  <c r="AB120" i="37"/>
  <c r="AA120" i="37"/>
  <c r="AA119" i="37" s="1"/>
  <c r="Z120" i="37"/>
  <c r="Z119" i="37" s="1"/>
  <c r="Y120" i="37"/>
  <c r="Y119" i="37" s="1"/>
  <c r="Y118" i="37" s="1"/>
  <c r="Y117" i="37" s="1"/>
  <c r="AB119" i="37"/>
  <c r="AB118" i="37" s="1"/>
  <c r="AB117" i="37" s="1"/>
  <c r="X119" i="37"/>
  <c r="W119" i="37"/>
  <c r="W118" i="37" s="1"/>
  <c r="W117" i="37" s="1"/>
  <c r="V119" i="37"/>
  <c r="V118" i="37" s="1"/>
  <c r="U119" i="37"/>
  <c r="T119" i="37"/>
  <c r="T118" i="37" s="1"/>
  <c r="S119" i="37"/>
  <c r="R119" i="37"/>
  <c r="Q119" i="37"/>
  <c r="Q118" i="37" s="1"/>
  <c r="P119" i="37"/>
  <c r="O119" i="37"/>
  <c r="O118" i="37" s="1"/>
  <c r="O117" i="37" s="1"/>
  <c r="N119" i="37"/>
  <c r="N118" i="37" s="1"/>
  <c r="M119" i="37"/>
  <c r="L119" i="37"/>
  <c r="L118" i="37" s="1"/>
  <c r="L117" i="37" s="1"/>
  <c r="K119" i="37"/>
  <c r="K118" i="37" s="1"/>
  <c r="K117" i="37" s="1"/>
  <c r="J119" i="37"/>
  <c r="I119" i="37"/>
  <c r="I118" i="37" s="1"/>
  <c r="AA118" i="37"/>
  <c r="AA117" i="37" s="1"/>
  <c r="Z118" i="37"/>
  <c r="Z117" i="37" s="1"/>
  <c r="X118" i="37"/>
  <c r="X117" i="37" s="1"/>
  <c r="U118" i="37"/>
  <c r="U117" i="37" s="1"/>
  <c r="S118" i="37"/>
  <c r="S117" i="37" s="1"/>
  <c r="R118" i="37"/>
  <c r="R117" i="37" s="1"/>
  <c r="P118" i="37"/>
  <c r="P117" i="37" s="1"/>
  <c r="M118" i="37"/>
  <c r="M117" i="37" s="1"/>
  <c r="J118" i="37"/>
  <c r="J117" i="37" s="1"/>
  <c r="V117" i="37"/>
  <c r="T117" i="37"/>
  <c r="Q117" i="37"/>
  <c r="N117" i="37"/>
  <c r="I117" i="37"/>
  <c r="AB116" i="37"/>
  <c r="AA116" i="37"/>
  <c r="AA115" i="37" s="1"/>
  <c r="AA114" i="37" s="1"/>
  <c r="AA113" i="37" s="1"/>
  <c r="Z116" i="37"/>
  <c r="Z115" i="37" s="1"/>
  <c r="Z114" i="37" s="1"/>
  <c r="Z113" i="37" s="1"/>
  <c r="Y116" i="37"/>
  <c r="AB115" i="37"/>
  <c r="AB114" i="37" s="1"/>
  <c r="AB113" i="37" s="1"/>
  <c r="Y115" i="37"/>
  <c r="Y114" i="37" s="1"/>
  <c r="X115" i="37"/>
  <c r="W115" i="37"/>
  <c r="W114" i="37" s="1"/>
  <c r="V115" i="37"/>
  <c r="V114" i="37" s="1"/>
  <c r="V113" i="37" s="1"/>
  <c r="U115" i="37"/>
  <c r="U114" i="37" s="1"/>
  <c r="U113" i="37" s="1"/>
  <c r="T115" i="37"/>
  <c r="T114" i="37" s="1"/>
  <c r="T113" i="37" s="1"/>
  <c r="S115" i="37"/>
  <c r="R115" i="37"/>
  <c r="Q115" i="37"/>
  <c r="Q114" i="37" s="1"/>
  <c r="P115" i="37"/>
  <c r="O115" i="37"/>
  <c r="O114" i="37" s="1"/>
  <c r="O113" i="37" s="1"/>
  <c r="N115" i="37"/>
  <c r="N114" i="37" s="1"/>
  <c r="N113" i="37" s="1"/>
  <c r="M115" i="37"/>
  <c r="M114" i="37" s="1"/>
  <c r="M113" i="37" s="1"/>
  <c r="L115" i="37"/>
  <c r="L114" i="37" s="1"/>
  <c r="L113" i="37" s="1"/>
  <c r="K115" i="37"/>
  <c r="J115" i="37"/>
  <c r="I115" i="37"/>
  <c r="I114" i="37" s="1"/>
  <c r="X114" i="37"/>
  <c r="X113" i="37" s="1"/>
  <c r="S114" i="37"/>
  <c r="S113" i="37" s="1"/>
  <c r="R114" i="37"/>
  <c r="R113" i="37" s="1"/>
  <c r="P114" i="37"/>
  <c r="P113" i="37" s="1"/>
  <c r="K114" i="37"/>
  <c r="K113" i="37" s="1"/>
  <c r="J114" i="37"/>
  <c r="J113" i="37" s="1"/>
  <c r="Y113" i="37"/>
  <c r="W113" i="37"/>
  <c r="Q113" i="37"/>
  <c r="I113" i="37"/>
  <c r="AB112" i="37"/>
  <c r="AA112" i="37"/>
  <c r="AA111" i="37" s="1"/>
  <c r="Z112" i="37"/>
  <c r="Z111" i="37" s="1"/>
  <c r="Y112" i="37"/>
  <c r="Y111" i="37" s="1"/>
  <c r="Y110" i="37" s="1"/>
  <c r="Y109" i="37" s="1"/>
  <c r="AB111" i="37"/>
  <c r="AB110" i="37" s="1"/>
  <c r="X111" i="37"/>
  <c r="W111" i="37"/>
  <c r="W110" i="37" s="1"/>
  <c r="W109" i="37" s="1"/>
  <c r="W108" i="37" s="1"/>
  <c r="V111" i="37"/>
  <c r="V110" i="37" s="1"/>
  <c r="U111" i="37"/>
  <c r="T111" i="37"/>
  <c r="T110" i="37" s="1"/>
  <c r="T109" i="37" s="1"/>
  <c r="T108" i="37" s="1"/>
  <c r="S111" i="37"/>
  <c r="R111" i="37"/>
  <c r="Q111" i="37"/>
  <c r="Q110" i="37" s="1"/>
  <c r="P111" i="37"/>
  <c r="O111" i="37"/>
  <c r="O110" i="37" s="1"/>
  <c r="O109" i="37" s="1"/>
  <c r="O108" i="37" s="1"/>
  <c r="N111" i="37"/>
  <c r="N110" i="37" s="1"/>
  <c r="M111" i="37"/>
  <c r="L111" i="37"/>
  <c r="L110" i="37" s="1"/>
  <c r="L109" i="37" s="1"/>
  <c r="K111" i="37"/>
  <c r="J111" i="37"/>
  <c r="I111" i="37"/>
  <c r="I110" i="37" s="1"/>
  <c r="AA110" i="37"/>
  <c r="AA109" i="37" s="1"/>
  <c r="Z110" i="37"/>
  <c r="Z109" i="37" s="1"/>
  <c r="X110" i="37"/>
  <c r="X109" i="37" s="1"/>
  <c r="X108" i="37" s="1"/>
  <c r="U110" i="37"/>
  <c r="U109" i="37" s="1"/>
  <c r="S110" i="37"/>
  <c r="S109" i="37" s="1"/>
  <c r="S108" i="37" s="1"/>
  <c r="R110" i="37"/>
  <c r="R109" i="37" s="1"/>
  <c r="R108" i="37" s="1"/>
  <c r="P110" i="37"/>
  <c r="P109" i="37" s="1"/>
  <c r="M110" i="37"/>
  <c r="M109" i="37" s="1"/>
  <c r="K110" i="37"/>
  <c r="K109" i="37" s="1"/>
  <c r="J110" i="37"/>
  <c r="J109" i="37" s="1"/>
  <c r="J108" i="37" s="1"/>
  <c r="AB109" i="37"/>
  <c r="V109" i="37"/>
  <c r="Q109" i="37"/>
  <c r="N109" i="37"/>
  <c r="N108" i="37" s="1"/>
  <c r="I109" i="37"/>
  <c r="Z108" i="37"/>
  <c r="P108" i="37"/>
  <c r="AB107" i="37"/>
  <c r="AB106" i="37" s="1"/>
  <c r="AB105" i="37" s="1"/>
  <c r="AB104" i="37" s="1"/>
  <c r="AA107" i="37"/>
  <c r="Z107" i="37"/>
  <c r="Y107" i="37"/>
  <c r="Y106" i="37" s="1"/>
  <c r="Y105" i="37" s="1"/>
  <c r="Y104" i="37" s="1"/>
  <c r="AA106" i="37"/>
  <c r="AA105" i="37" s="1"/>
  <c r="AA104" i="37" s="1"/>
  <c r="Z106" i="37"/>
  <c r="Z105" i="37" s="1"/>
  <c r="X106" i="37"/>
  <c r="X105" i="37" s="1"/>
  <c r="X104" i="37" s="1"/>
  <c r="W106" i="37"/>
  <c r="V106" i="37"/>
  <c r="U106" i="37"/>
  <c r="U105" i="37" s="1"/>
  <c r="T106" i="37"/>
  <c r="S106" i="37"/>
  <c r="S105" i="37" s="1"/>
  <c r="S104" i="37" s="1"/>
  <c r="R106" i="37"/>
  <c r="R105" i="37" s="1"/>
  <c r="R104" i="37" s="1"/>
  <c r="Q106" i="37"/>
  <c r="P106" i="37"/>
  <c r="P105" i="37" s="1"/>
  <c r="O106" i="37"/>
  <c r="N106" i="37"/>
  <c r="M106" i="37"/>
  <c r="M105" i="37" s="1"/>
  <c r="L106" i="37"/>
  <c r="K106" i="37"/>
  <c r="K105" i="37" s="1"/>
  <c r="K104" i="37" s="1"/>
  <c r="J106" i="37"/>
  <c r="J105" i="37" s="1"/>
  <c r="J104" i="37" s="1"/>
  <c r="I106" i="37"/>
  <c r="W105" i="37"/>
  <c r="W104" i="37" s="1"/>
  <c r="V105" i="37"/>
  <c r="V104" i="37" s="1"/>
  <c r="T105" i="37"/>
  <c r="T104" i="37" s="1"/>
  <c r="Q105" i="37"/>
  <c r="Q104" i="37" s="1"/>
  <c r="O105" i="37"/>
  <c r="O104" i="37" s="1"/>
  <c r="N105" i="37"/>
  <c r="N104" i="37" s="1"/>
  <c r="L105" i="37"/>
  <c r="L104" i="37" s="1"/>
  <c r="I105" i="37"/>
  <c r="I104" i="37" s="1"/>
  <c r="Z104" i="37"/>
  <c r="U104" i="37"/>
  <c r="P104" i="37"/>
  <c r="M104" i="37"/>
  <c r="AB103" i="37"/>
  <c r="AB102" i="37" s="1"/>
  <c r="AB101" i="37" s="1"/>
  <c r="AB100" i="37" s="1"/>
  <c r="AA103" i="37"/>
  <c r="Z103" i="37"/>
  <c r="Z102" i="37" s="1"/>
  <c r="Z101" i="37" s="1"/>
  <c r="Z100" i="37" s="1"/>
  <c r="Y103" i="37"/>
  <c r="Y102" i="37" s="1"/>
  <c r="Y101" i="37" s="1"/>
  <c r="Y100" i="37" s="1"/>
  <c r="AA102" i="37"/>
  <c r="AA101" i="37" s="1"/>
  <c r="AA100" i="37" s="1"/>
  <c r="X102" i="37"/>
  <c r="X101" i="37" s="1"/>
  <c r="W102" i="37"/>
  <c r="W101" i="37" s="1"/>
  <c r="W100" i="37" s="1"/>
  <c r="V102" i="37"/>
  <c r="U102" i="37"/>
  <c r="U101" i="37" s="1"/>
  <c r="U100" i="37" s="1"/>
  <c r="T102" i="37"/>
  <c r="S102" i="37"/>
  <c r="S101" i="37" s="1"/>
  <c r="R102" i="37"/>
  <c r="R101" i="37" s="1"/>
  <c r="R100" i="37" s="1"/>
  <c r="Q102" i="37"/>
  <c r="P102" i="37"/>
  <c r="P101" i="37" s="1"/>
  <c r="O102" i="37"/>
  <c r="O101" i="37" s="1"/>
  <c r="O100" i="37" s="1"/>
  <c r="N102" i="37"/>
  <c r="N101" i="37" s="1"/>
  <c r="N100" i="37" s="1"/>
  <c r="M102" i="37"/>
  <c r="M101" i="37" s="1"/>
  <c r="M100" i="37" s="1"/>
  <c r="L102" i="37"/>
  <c r="K102" i="37"/>
  <c r="K101" i="37" s="1"/>
  <c r="K100" i="37" s="1"/>
  <c r="J102" i="37"/>
  <c r="J101" i="37" s="1"/>
  <c r="J100" i="37" s="1"/>
  <c r="I102" i="37"/>
  <c r="V101" i="37"/>
  <c r="V100" i="37" s="1"/>
  <c r="T101" i="37"/>
  <c r="T100" i="37" s="1"/>
  <c r="Q101" i="37"/>
  <c r="Q100" i="37" s="1"/>
  <c r="L101" i="37"/>
  <c r="L100" i="37" s="1"/>
  <c r="I101" i="37"/>
  <c r="I100" i="37" s="1"/>
  <c r="X100" i="37"/>
  <c r="S100" i="37"/>
  <c r="P100" i="37"/>
  <c r="AB99" i="37"/>
  <c r="AB98" i="37" s="1"/>
  <c r="AB97" i="37" s="1"/>
  <c r="AB96" i="37" s="1"/>
  <c r="AA99" i="37"/>
  <c r="AA98" i="37" s="1"/>
  <c r="AA97" i="37" s="1"/>
  <c r="AA96" i="37" s="1"/>
  <c r="AA95" i="37" s="1"/>
  <c r="Z99" i="37"/>
  <c r="Y99" i="37"/>
  <c r="Z98" i="37"/>
  <c r="Z97" i="37" s="1"/>
  <c r="Z96" i="37" s="1"/>
  <c r="Y98" i="37"/>
  <c r="X98" i="37"/>
  <c r="X97" i="37" s="1"/>
  <c r="X96" i="37" s="1"/>
  <c r="X95" i="37" s="1"/>
  <c r="W98" i="37"/>
  <c r="V98" i="37"/>
  <c r="U98" i="37"/>
  <c r="T98" i="37"/>
  <c r="S98" i="37"/>
  <c r="S97" i="37" s="1"/>
  <c r="S96" i="37" s="1"/>
  <c r="R98" i="37"/>
  <c r="R97" i="37" s="1"/>
  <c r="R96" i="37" s="1"/>
  <c r="R95" i="37" s="1"/>
  <c r="Q98" i="37"/>
  <c r="P98" i="37"/>
  <c r="P97" i="37" s="1"/>
  <c r="P96" i="37" s="1"/>
  <c r="O98" i="37"/>
  <c r="N98" i="37"/>
  <c r="N97" i="37" s="1"/>
  <c r="N96" i="37" s="1"/>
  <c r="M98" i="37"/>
  <c r="L98" i="37"/>
  <c r="K98" i="37"/>
  <c r="K97" i="37" s="1"/>
  <c r="K96" i="37" s="1"/>
  <c r="J98" i="37"/>
  <c r="J97" i="37" s="1"/>
  <c r="J96" i="37" s="1"/>
  <c r="J95" i="37" s="1"/>
  <c r="I98" i="37"/>
  <c r="Y97" i="37"/>
  <c r="Y96" i="37" s="1"/>
  <c r="W97" i="37"/>
  <c r="W96" i="37" s="1"/>
  <c r="V97" i="37"/>
  <c r="V96" i="37" s="1"/>
  <c r="V95" i="37" s="1"/>
  <c r="U97" i="37"/>
  <c r="T97" i="37"/>
  <c r="T96" i="37" s="1"/>
  <c r="T95" i="37" s="1"/>
  <c r="Q97" i="37"/>
  <c r="O97" i="37"/>
  <c r="M97" i="37"/>
  <c r="M96" i="37" s="1"/>
  <c r="L97" i="37"/>
  <c r="L96" i="37" s="1"/>
  <c r="I97" i="37"/>
  <c r="I96" i="37" s="1"/>
  <c r="U96" i="37"/>
  <c r="Q96" i="37"/>
  <c r="O96" i="37"/>
  <c r="AB94" i="37"/>
  <c r="AA94" i="37"/>
  <c r="AA93" i="37" s="1"/>
  <c r="AA92" i="37" s="1"/>
  <c r="AA91" i="37" s="1"/>
  <c r="AA90" i="37" s="1"/>
  <c r="Z94" i="37"/>
  <c r="Z93" i="37" s="1"/>
  <c r="Z92" i="37" s="1"/>
  <c r="Z91" i="37" s="1"/>
  <c r="Z90" i="37" s="1"/>
  <c r="Y94" i="37"/>
  <c r="Y93" i="37" s="1"/>
  <c r="Y92" i="37" s="1"/>
  <c r="Y91" i="37" s="1"/>
  <c r="Y90" i="37" s="1"/>
  <c r="AB93" i="37"/>
  <c r="AB92" i="37" s="1"/>
  <c r="AB91" i="37" s="1"/>
  <c r="AB90" i="37" s="1"/>
  <c r="X93" i="37"/>
  <c r="W93" i="37"/>
  <c r="V93" i="37"/>
  <c r="V92" i="37" s="1"/>
  <c r="U93" i="37"/>
  <c r="T93" i="37"/>
  <c r="T92" i="37" s="1"/>
  <c r="T91" i="37" s="1"/>
  <c r="T90" i="37" s="1"/>
  <c r="S93" i="37"/>
  <c r="S92" i="37" s="1"/>
  <c r="S91" i="37" s="1"/>
  <c r="S90" i="37" s="1"/>
  <c r="R93" i="37"/>
  <c r="R92" i="37" s="1"/>
  <c r="R91" i="37" s="1"/>
  <c r="R90" i="37" s="1"/>
  <c r="Q93" i="37"/>
  <c r="P93" i="37"/>
  <c r="O93" i="37"/>
  <c r="N93" i="37"/>
  <c r="N92" i="37" s="1"/>
  <c r="M93" i="37"/>
  <c r="L93" i="37"/>
  <c r="L92" i="37" s="1"/>
  <c r="L91" i="37" s="1"/>
  <c r="L90" i="37" s="1"/>
  <c r="K93" i="37"/>
  <c r="K92" i="37" s="1"/>
  <c r="K91" i="37" s="1"/>
  <c r="K90" i="37" s="1"/>
  <c r="J93" i="37"/>
  <c r="J92" i="37" s="1"/>
  <c r="J91" i="37" s="1"/>
  <c r="J90" i="37" s="1"/>
  <c r="I93" i="37"/>
  <c r="X92" i="37"/>
  <c r="X91" i="37" s="1"/>
  <c r="X90" i="37" s="1"/>
  <c r="W92" i="37"/>
  <c r="W91" i="37" s="1"/>
  <c r="W90" i="37" s="1"/>
  <c r="U92" i="37"/>
  <c r="U91" i="37" s="1"/>
  <c r="U90" i="37" s="1"/>
  <c r="Q92" i="37"/>
  <c r="P92" i="37"/>
  <c r="P91" i="37" s="1"/>
  <c r="P90" i="37" s="1"/>
  <c r="O92" i="37"/>
  <c r="M92" i="37"/>
  <c r="I92" i="37"/>
  <c r="I91" i="37" s="1"/>
  <c r="I90" i="37" s="1"/>
  <c r="V91" i="37"/>
  <c r="V90" i="37" s="1"/>
  <c r="Q91" i="37"/>
  <c r="Q90" i="37" s="1"/>
  <c r="O91" i="37"/>
  <c r="O90" i="37" s="1"/>
  <c r="N91" i="37"/>
  <c r="N90" i="37" s="1"/>
  <c r="M91" i="37"/>
  <c r="M90" i="37"/>
  <c r="AB89" i="37"/>
  <c r="AB88" i="37" s="1"/>
  <c r="AB87" i="37" s="1"/>
  <c r="AB86" i="37" s="1"/>
  <c r="AB85" i="37" s="1"/>
  <c r="AA89" i="37"/>
  <c r="AA88" i="37" s="1"/>
  <c r="AA87" i="37" s="1"/>
  <c r="AA86" i="37" s="1"/>
  <c r="AA85" i="37" s="1"/>
  <c r="Z89" i="37"/>
  <c r="Z88" i="37" s="1"/>
  <c r="Z87" i="37" s="1"/>
  <c r="Z86" i="37" s="1"/>
  <c r="Z85" i="37" s="1"/>
  <c r="Y89" i="37"/>
  <c r="Y88" i="37" s="1"/>
  <c r="Y87" i="37" s="1"/>
  <c r="Y86" i="37" s="1"/>
  <c r="Y85" i="37" s="1"/>
  <c r="X88" i="37"/>
  <c r="X87" i="37" s="1"/>
  <c r="X86" i="37" s="1"/>
  <c r="X85" i="37" s="1"/>
  <c r="W88" i="37"/>
  <c r="W87" i="37" s="1"/>
  <c r="W86" i="37" s="1"/>
  <c r="W85" i="37" s="1"/>
  <c r="V88" i="37"/>
  <c r="U88" i="37"/>
  <c r="T88" i="37"/>
  <c r="T87" i="37" s="1"/>
  <c r="T86" i="37" s="1"/>
  <c r="T85" i="37" s="1"/>
  <c r="S88" i="37"/>
  <c r="S87" i="37" s="1"/>
  <c r="S86" i="37" s="1"/>
  <c r="S85" i="37" s="1"/>
  <c r="R88" i="37"/>
  <c r="R87" i="37" s="1"/>
  <c r="Q88" i="37"/>
  <c r="P88" i="37"/>
  <c r="P87" i="37" s="1"/>
  <c r="P86" i="37" s="1"/>
  <c r="P85" i="37" s="1"/>
  <c r="O88" i="37"/>
  <c r="N88" i="37"/>
  <c r="N87" i="37" s="1"/>
  <c r="N86" i="37" s="1"/>
  <c r="N85" i="37" s="1"/>
  <c r="M88" i="37"/>
  <c r="L88" i="37"/>
  <c r="K88" i="37"/>
  <c r="J88" i="37"/>
  <c r="J87" i="37" s="1"/>
  <c r="I88" i="37"/>
  <c r="V87" i="37"/>
  <c r="V86" i="37" s="1"/>
  <c r="V85" i="37" s="1"/>
  <c r="U87" i="37"/>
  <c r="Q87" i="37"/>
  <c r="Q86" i="37" s="1"/>
  <c r="Q85" i="37" s="1"/>
  <c r="O87" i="37"/>
  <c r="O86" i="37" s="1"/>
  <c r="O85" i="37" s="1"/>
  <c r="M87" i="37"/>
  <c r="L87" i="37"/>
  <c r="L86" i="37" s="1"/>
  <c r="L85" i="37" s="1"/>
  <c r="K87" i="37"/>
  <c r="K86" i="37" s="1"/>
  <c r="K85" i="37" s="1"/>
  <c r="I87" i="37"/>
  <c r="U86" i="37"/>
  <c r="U85" i="37" s="1"/>
  <c r="R86" i="37"/>
  <c r="R85" i="37" s="1"/>
  <c r="M86" i="37"/>
  <c r="M85" i="37" s="1"/>
  <c r="J86" i="37"/>
  <c r="J85" i="37" s="1"/>
  <c r="I86" i="37"/>
  <c r="I85" i="37" s="1"/>
  <c r="AB84" i="37"/>
  <c r="AA84" i="37"/>
  <c r="AA83" i="37" s="1"/>
  <c r="AA82" i="37" s="1"/>
  <c r="AA81" i="37" s="1"/>
  <c r="AA80" i="37" s="1"/>
  <c r="Z84" i="37"/>
  <c r="Z83" i="37" s="1"/>
  <c r="Y84" i="37"/>
  <c r="Y83" i="37" s="1"/>
  <c r="Y82" i="37" s="1"/>
  <c r="Y81" i="37" s="1"/>
  <c r="Y80" i="37" s="1"/>
  <c r="AB83" i="37"/>
  <c r="AB82" i="37" s="1"/>
  <c r="AB81" i="37" s="1"/>
  <c r="AB80" i="37" s="1"/>
  <c r="X83" i="37"/>
  <c r="X82" i="37" s="1"/>
  <c r="X81" i="37" s="1"/>
  <c r="X80" i="37" s="1"/>
  <c r="W83" i="37"/>
  <c r="W82" i="37" s="1"/>
  <c r="W81" i="37" s="1"/>
  <c r="W80" i="37" s="1"/>
  <c r="V83" i="37"/>
  <c r="V82" i="37" s="1"/>
  <c r="U83" i="37"/>
  <c r="U82" i="37" s="1"/>
  <c r="U81" i="37" s="1"/>
  <c r="U80" i="37" s="1"/>
  <c r="T83" i="37"/>
  <c r="T82" i="37" s="1"/>
  <c r="T81" i="37" s="1"/>
  <c r="T80" i="37" s="1"/>
  <c r="S83" i="37"/>
  <c r="R83" i="37"/>
  <c r="Q83" i="37"/>
  <c r="Q82" i="37" s="1"/>
  <c r="Q81" i="37" s="1"/>
  <c r="Q80" i="37" s="1"/>
  <c r="P83" i="37"/>
  <c r="P82" i="37" s="1"/>
  <c r="P81" i="37" s="1"/>
  <c r="P80" i="37" s="1"/>
  <c r="O83" i="37"/>
  <c r="N83" i="37"/>
  <c r="N82" i="37" s="1"/>
  <c r="M83" i="37"/>
  <c r="L83" i="37"/>
  <c r="L82" i="37" s="1"/>
  <c r="L81" i="37" s="1"/>
  <c r="L80" i="37" s="1"/>
  <c r="K83" i="37"/>
  <c r="J83" i="37"/>
  <c r="I83" i="37"/>
  <c r="Z82" i="37"/>
  <c r="Z81" i="37" s="1"/>
  <c r="Z80" i="37" s="1"/>
  <c r="S82" i="37"/>
  <c r="S81" i="37" s="1"/>
  <c r="S80" i="37" s="1"/>
  <c r="R82" i="37"/>
  <c r="R81" i="37" s="1"/>
  <c r="R80" i="37" s="1"/>
  <c r="O82" i="37"/>
  <c r="O81" i="37" s="1"/>
  <c r="O80" i="37" s="1"/>
  <c r="M82" i="37"/>
  <c r="K82" i="37"/>
  <c r="K81" i="37" s="1"/>
  <c r="K80" i="37" s="1"/>
  <c r="J82" i="37"/>
  <c r="J81" i="37" s="1"/>
  <c r="I82" i="37"/>
  <c r="I81" i="37" s="1"/>
  <c r="I80" i="37" s="1"/>
  <c r="V81" i="37"/>
  <c r="V80" i="37" s="1"/>
  <c r="N81" i="37"/>
  <c r="N80" i="37" s="1"/>
  <c r="M81" i="37"/>
  <c r="M80" i="37" s="1"/>
  <c r="J80" i="37"/>
  <c r="AB79" i="37"/>
  <c r="AB78" i="37" s="1"/>
  <c r="AB77" i="37" s="1"/>
  <c r="AB76" i="37" s="1"/>
  <c r="AA79" i="37"/>
  <c r="Z79" i="37"/>
  <c r="Y79" i="37"/>
  <c r="Y78" i="37" s="1"/>
  <c r="Y77" i="37" s="1"/>
  <c r="Y76" i="37" s="1"/>
  <c r="Y75" i="37" s="1"/>
  <c r="AA78" i="37"/>
  <c r="AA77" i="37" s="1"/>
  <c r="AA76" i="37" s="1"/>
  <c r="AA75" i="37" s="1"/>
  <c r="Z78" i="37"/>
  <c r="Z77" i="37" s="1"/>
  <c r="X78" i="37"/>
  <c r="X77" i="37" s="1"/>
  <c r="W78" i="37"/>
  <c r="W77" i="37" s="1"/>
  <c r="W76" i="37" s="1"/>
  <c r="W75" i="37" s="1"/>
  <c r="V78" i="37"/>
  <c r="U78" i="37"/>
  <c r="T78" i="37"/>
  <c r="T77" i="37" s="1"/>
  <c r="T76" i="37" s="1"/>
  <c r="T75" i="37" s="1"/>
  <c r="S78" i="37"/>
  <c r="S77" i="37" s="1"/>
  <c r="S76" i="37" s="1"/>
  <c r="S75" i="37" s="1"/>
  <c r="R78" i="37"/>
  <c r="R77" i="37" s="1"/>
  <c r="Q78" i="37"/>
  <c r="P78" i="37"/>
  <c r="P77" i="37" s="1"/>
  <c r="O78" i="37"/>
  <c r="O77" i="37" s="1"/>
  <c r="O76" i="37" s="1"/>
  <c r="O75" i="37" s="1"/>
  <c r="N78" i="37"/>
  <c r="M78" i="37"/>
  <c r="L78" i="37"/>
  <c r="L77" i="37" s="1"/>
  <c r="L76" i="37" s="1"/>
  <c r="L75" i="37" s="1"/>
  <c r="K78" i="37"/>
  <c r="K77" i="37" s="1"/>
  <c r="K76" i="37" s="1"/>
  <c r="K75" i="37" s="1"/>
  <c r="J78" i="37"/>
  <c r="J77" i="37" s="1"/>
  <c r="I78" i="37"/>
  <c r="V77" i="37"/>
  <c r="V76" i="37" s="1"/>
  <c r="V75" i="37" s="1"/>
  <c r="U77" i="37"/>
  <c r="Q77" i="37"/>
  <c r="Q76" i="37" s="1"/>
  <c r="Q75" i="37" s="1"/>
  <c r="N77" i="37"/>
  <c r="N76" i="37" s="1"/>
  <c r="M77" i="37"/>
  <c r="I77" i="37"/>
  <c r="I76" i="37" s="1"/>
  <c r="I75" i="37" s="1"/>
  <c r="Z76" i="37"/>
  <c r="Z75" i="37" s="1"/>
  <c r="X76" i="37"/>
  <c r="X75" i="37" s="1"/>
  <c r="U76" i="37"/>
  <c r="U75" i="37" s="1"/>
  <c r="R76" i="37"/>
  <c r="R75" i="37" s="1"/>
  <c r="P76" i="37"/>
  <c r="P75" i="37" s="1"/>
  <c r="M76" i="37"/>
  <c r="M75" i="37" s="1"/>
  <c r="J76" i="37"/>
  <c r="J75" i="37" s="1"/>
  <c r="AB75" i="37"/>
  <c r="N75" i="37"/>
  <c r="AB74" i="37"/>
  <c r="AA74" i="37"/>
  <c r="AA73" i="37" s="1"/>
  <c r="AA72" i="37" s="1"/>
  <c r="AA71" i="37" s="1"/>
  <c r="AA70" i="37" s="1"/>
  <c r="Z74" i="37"/>
  <c r="Z73" i="37" s="1"/>
  <c r="Y74" i="37"/>
  <c r="Y73" i="37" s="1"/>
  <c r="Y72" i="37" s="1"/>
  <c r="Y71" i="37" s="1"/>
  <c r="Y70" i="37" s="1"/>
  <c r="AB73" i="37"/>
  <c r="AB72" i="37" s="1"/>
  <c r="AB71" i="37" s="1"/>
  <c r="AB70" i="37" s="1"/>
  <c r="X73" i="37"/>
  <c r="W73" i="37"/>
  <c r="V73" i="37"/>
  <c r="V72" i="37" s="1"/>
  <c r="V71" i="37" s="1"/>
  <c r="V70" i="37" s="1"/>
  <c r="U73" i="37"/>
  <c r="T73" i="37"/>
  <c r="T72" i="37" s="1"/>
  <c r="S73" i="37"/>
  <c r="R73" i="37"/>
  <c r="R72" i="37" s="1"/>
  <c r="R71" i="37" s="1"/>
  <c r="R70" i="37" s="1"/>
  <c r="Q73" i="37"/>
  <c r="P73" i="37"/>
  <c r="O73" i="37"/>
  <c r="N73" i="37"/>
  <c r="N72" i="37" s="1"/>
  <c r="N71" i="37" s="1"/>
  <c r="N70" i="37" s="1"/>
  <c r="M73" i="37"/>
  <c r="M72" i="37" s="1"/>
  <c r="M71" i="37" s="1"/>
  <c r="M70" i="37" s="1"/>
  <c r="L73" i="37"/>
  <c r="L72" i="37" s="1"/>
  <c r="K73" i="37"/>
  <c r="J73" i="37"/>
  <c r="J72" i="37" s="1"/>
  <c r="J71" i="37" s="1"/>
  <c r="J70" i="37" s="1"/>
  <c r="I73" i="37"/>
  <c r="Z72" i="37"/>
  <c r="Z71" i="37" s="1"/>
  <c r="X72" i="37"/>
  <c r="X71" i="37" s="1"/>
  <c r="X70" i="37" s="1"/>
  <c r="W72" i="37"/>
  <c r="W71" i="37" s="1"/>
  <c r="W70" i="37" s="1"/>
  <c r="U72" i="37"/>
  <c r="S72" i="37"/>
  <c r="S71" i="37" s="1"/>
  <c r="S70" i="37" s="1"/>
  <c r="Q72" i="37"/>
  <c r="Q71" i="37" s="1"/>
  <c r="Q70" i="37" s="1"/>
  <c r="P72" i="37"/>
  <c r="P71" i="37" s="1"/>
  <c r="P70" i="37" s="1"/>
  <c r="O72" i="37"/>
  <c r="O71" i="37" s="1"/>
  <c r="O70" i="37" s="1"/>
  <c r="K72" i="37"/>
  <c r="K71" i="37" s="1"/>
  <c r="K70" i="37" s="1"/>
  <c r="I72" i="37"/>
  <c r="U71" i="37"/>
  <c r="T71" i="37"/>
  <c r="T70" i="37" s="1"/>
  <c r="L71" i="37"/>
  <c r="L70" i="37" s="1"/>
  <c r="I71" i="37"/>
  <c r="Z70" i="37"/>
  <c r="U70" i="37"/>
  <c r="I70" i="37"/>
  <c r="AB69" i="37"/>
  <c r="AB68" i="37" s="1"/>
  <c r="AB67" i="37" s="1"/>
  <c r="AB66" i="37" s="1"/>
  <c r="AB65" i="37" s="1"/>
  <c r="AA69" i="37"/>
  <c r="AA68" i="37" s="1"/>
  <c r="AA67" i="37" s="1"/>
  <c r="AA66" i="37" s="1"/>
  <c r="AA65" i="37" s="1"/>
  <c r="Z69" i="37"/>
  <c r="Y69" i="37"/>
  <c r="Y68" i="37" s="1"/>
  <c r="Y67" i="37" s="1"/>
  <c r="Y66" i="37" s="1"/>
  <c r="Y65" i="37" s="1"/>
  <c r="Z68" i="37"/>
  <c r="Z67" i="37" s="1"/>
  <c r="Z66" i="37" s="1"/>
  <c r="Z65" i="37" s="1"/>
  <c r="X68" i="37"/>
  <c r="X67" i="37" s="1"/>
  <c r="W68" i="37"/>
  <c r="V68" i="37"/>
  <c r="U68" i="37"/>
  <c r="T68" i="37"/>
  <c r="S68" i="37"/>
  <c r="S67" i="37" s="1"/>
  <c r="S66" i="37" s="1"/>
  <c r="S65" i="37" s="1"/>
  <c r="R68" i="37"/>
  <c r="R67" i="37" s="1"/>
  <c r="Q68" i="37"/>
  <c r="P68" i="37"/>
  <c r="P67" i="37" s="1"/>
  <c r="P66" i="37" s="1"/>
  <c r="P65" i="37" s="1"/>
  <c r="O68" i="37"/>
  <c r="O67" i="37" s="1"/>
  <c r="O66" i="37" s="1"/>
  <c r="O65" i="37" s="1"/>
  <c r="N68" i="37"/>
  <c r="M68" i="37"/>
  <c r="L68" i="37"/>
  <c r="K68" i="37"/>
  <c r="K67" i="37" s="1"/>
  <c r="K66" i="37" s="1"/>
  <c r="K65" i="37" s="1"/>
  <c r="J68" i="37"/>
  <c r="J67" i="37" s="1"/>
  <c r="I68" i="37"/>
  <c r="W67" i="37"/>
  <c r="W66" i="37" s="1"/>
  <c r="W65" i="37" s="1"/>
  <c r="V67" i="37"/>
  <c r="V66" i="37" s="1"/>
  <c r="V65" i="37" s="1"/>
  <c r="U67" i="37"/>
  <c r="T67" i="37"/>
  <c r="T66" i="37" s="1"/>
  <c r="T65" i="37" s="1"/>
  <c r="Q67" i="37"/>
  <c r="N67" i="37"/>
  <c r="N66" i="37" s="1"/>
  <c r="N65" i="37" s="1"/>
  <c r="M67" i="37"/>
  <c r="L67" i="37"/>
  <c r="L66" i="37" s="1"/>
  <c r="L65" i="37" s="1"/>
  <c r="I67" i="37"/>
  <c r="X66" i="37"/>
  <c r="X65" i="37" s="1"/>
  <c r="U66" i="37"/>
  <c r="R66" i="37"/>
  <c r="R65" i="37" s="1"/>
  <c r="Q66" i="37"/>
  <c r="M66" i="37"/>
  <c r="M65" i="37" s="1"/>
  <c r="J66" i="37"/>
  <c r="J65" i="37" s="1"/>
  <c r="I66" i="37"/>
  <c r="U65" i="37"/>
  <c r="Q65" i="37"/>
  <c r="I65" i="37"/>
  <c r="AB64" i="37"/>
  <c r="AB63" i="37" s="1"/>
  <c r="AB62" i="37" s="1"/>
  <c r="AB61" i="37" s="1"/>
  <c r="AA64" i="37"/>
  <c r="AA63" i="37" s="1"/>
  <c r="AA62" i="37" s="1"/>
  <c r="AA61" i="37" s="1"/>
  <c r="Z64" i="37"/>
  <c r="Z63" i="37" s="1"/>
  <c r="Y64" i="37"/>
  <c r="Y63" i="37" s="1"/>
  <c r="Y62" i="37" s="1"/>
  <c r="Y61" i="37" s="1"/>
  <c r="X63" i="37"/>
  <c r="W63" i="37"/>
  <c r="W62" i="37" s="1"/>
  <c r="W61" i="37" s="1"/>
  <c r="V63" i="37"/>
  <c r="V62" i="37" s="1"/>
  <c r="V61" i="37" s="1"/>
  <c r="U63" i="37"/>
  <c r="T63" i="37"/>
  <c r="T62" i="37" s="1"/>
  <c r="T61" i="37" s="1"/>
  <c r="S63" i="37"/>
  <c r="S62" i="37" s="1"/>
  <c r="S61" i="37" s="1"/>
  <c r="R63" i="37"/>
  <c r="Q63" i="37"/>
  <c r="P63" i="37"/>
  <c r="O63" i="37"/>
  <c r="O62" i="37" s="1"/>
  <c r="O61" i="37" s="1"/>
  <c r="N63" i="37"/>
  <c r="N62" i="37" s="1"/>
  <c r="N61" i="37" s="1"/>
  <c r="M63" i="37"/>
  <c r="L63" i="37"/>
  <c r="K63" i="37"/>
  <c r="K62" i="37" s="1"/>
  <c r="K61" i="37" s="1"/>
  <c r="J63" i="37"/>
  <c r="I63" i="37"/>
  <c r="Z62" i="37"/>
  <c r="Z61" i="37" s="1"/>
  <c r="X62" i="37"/>
  <c r="X61" i="37" s="1"/>
  <c r="U62" i="37"/>
  <c r="R62" i="37"/>
  <c r="R61" i="37" s="1"/>
  <c r="Q62" i="37"/>
  <c r="P62" i="37"/>
  <c r="P61" i="37" s="1"/>
  <c r="M62" i="37"/>
  <c r="L62" i="37"/>
  <c r="L61" i="37" s="1"/>
  <c r="J62" i="37"/>
  <c r="J61" i="37" s="1"/>
  <c r="I62" i="37"/>
  <c r="U61" i="37"/>
  <c r="Q61" i="37"/>
  <c r="M61" i="37"/>
  <c r="I61" i="37"/>
  <c r="AB60" i="37"/>
  <c r="AA60" i="37"/>
  <c r="AA59" i="37" s="1"/>
  <c r="AA58" i="37" s="1"/>
  <c r="AA57" i="37" s="1"/>
  <c r="Z60" i="37"/>
  <c r="Z59" i="37" s="1"/>
  <c r="Z58" i="37" s="1"/>
  <c r="Z57" i="37" s="1"/>
  <c r="Y60" i="37"/>
  <c r="Y59" i="37" s="1"/>
  <c r="Y58" i="37" s="1"/>
  <c r="Y57" i="37" s="1"/>
  <c r="AB59" i="37"/>
  <c r="AB58" i="37" s="1"/>
  <c r="AB57" i="37" s="1"/>
  <c r="X59" i="37"/>
  <c r="W59" i="37"/>
  <c r="W58" i="37" s="1"/>
  <c r="W57" i="37" s="1"/>
  <c r="V59" i="37"/>
  <c r="V58" i="37" s="1"/>
  <c r="V57" i="37" s="1"/>
  <c r="U59" i="37"/>
  <c r="T59" i="37"/>
  <c r="T58" i="37" s="1"/>
  <c r="T57" i="37" s="1"/>
  <c r="S59" i="37"/>
  <c r="R59" i="37"/>
  <c r="Q59" i="37"/>
  <c r="Q58" i="37" s="1"/>
  <c r="Q57" i="37" s="1"/>
  <c r="P59" i="37"/>
  <c r="O59" i="37"/>
  <c r="O58" i="37" s="1"/>
  <c r="O57" i="37" s="1"/>
  <c r="N59" i="37"/>
  <c r="N58" i="37" s="1"/>
  <c r="N57" i="37" s="1"/>
  <c r="M59" i="37"/>
  <c r="L59" i="37"/>
  <c r="L58" i="37" s="1"/>
  <c r="L57" i="37" s="1"/>
  <c r="K59" i="37"/>
  <c r="J59" i="37"/>
  <c r="I59" i="37"/>
  <c r="I58" i="37" s="1"/>
  <c r="I57" i="37" s="1"/>
  <c r="X58" i="37"/>
  <c r="X57" i="37" s="1"/>
  <c r="U58" i="37"/>
  <c r="U57" i="37" s="1"/>
  <c r="S58" i="37"/>
  <c r="S57" i="37" s="1"/>
  <c r="R58" i="37"/>
  <c r="R57" i="37" s="1"/>
  <c r="P58" i="37"/>
  <c r="P57" i="37" s="1"/>
  <c r="M58" i="37"/>
  <c r="M57" i="37" s="1"/>
  <c r="K58" i="37"/>
  <c r="K57" i="37" s="1"/>
  <c r="J58" i="37"/>
  <c r="J57" i="37" s="1"/>
  <c r="AB56" i="37"/>
  <c r="AA56" i="37"/>
  <c r="Z56" i="37"/>
  <c r="Y56" i="37"/>
  <c r="X55" i="37"/>
  <c r="W55" i="37"/>
  <c r="V55" i="37"/>
  <c r="U55" i="37"/>
  <c r="T55" i="37"/>
  <c r="S55" i="37"/>
  <c r="R55" i="37"/>
  <c r="Q55" i="37"/>
  <c r="P55" i="37"/>
  <c r="O55" i="37"/>
  <c r="N55" i="37"/>
  <c r="M55" i="37"/>
  <c r="L55" i="37"/>
  <c r="K55" i="37"/>
  <c r="AA55" i="37" s="1"/>
  <c r="J55" i="37"/>
  <c r="Z55" i="37" s="1"/>
  <c r="I55" i="37"/>
  <c r="X54" i="37"/>
  <c r="W54" i="37"/>
  <c r="V54" i="37"/>
  <c r="U54" i="37"/>
  <c r="T54" i="37"/>
  <c r="S54" i="37"/>
  <c r="R54" i="37"/>
  <c r="Q54" i="37"/>
  <c r="P54" i="37"/>
  <c r="O54" i="37"/>
  <c r="N54" i="37"/>
  <c r="M54" i="37"/>
  <c r="L54" i="37"/>
  <c r="J54" i="37"/>
  <c r="I54" i="37"/>
  <c r="X53" i="37"/>
  <c r="W53" i="37"/>
  <c r="V53" i="37"/>
  <c r="U53" i="37"/>
  <c r="T53" i="37"/>
  <c r="S53" i="37"/>
  <c r="S52" i="37" s="1"/>
  <c r="R53" i="37"/>
  <c r="Q53" i="37"/>
  <c r="P53" i="37"/>
  <c r="O53" i="37"/>
  <c r="N53" i="37"/>
  <c r="M53" i="37"/>
  <c r="L53" i="37"/>
  <c r="J53" i="37"/>
  <c r="Z53" i="37" s="1"/>
  <c r="I53" i="37"/>
  <c r="AB51" i="37"/>
  <c r="AB50" i="37" s="1"/>
  <c r="AB49" i="37" s="1"/>
  <c r="AB48" i="37" s="1"/>
  <c r="AB47" i="37" s="1"/>
  <c r="AA51" i="37"/>
  <c r="Z51" i="37"/>
  <c r="Z50" i="37" s="1"/>
  <c r="Z49" i="37" s="1"/>
  <c r="Z48" i="37" s="1"/>
  <c r="Z47" i="37" s="1"/>
  <c r="Y51" i="37"/>
  <c r="Y50" i="37" s="1"/>
  <c r="Y49" i="37" s="1"/>
  <c r="Y48" i="37" s="1"/>
  <c r="Y47" i="37" s="1"/>
  <c r="AA50" i="37"/>
  <c r="AA49" i="37" s="1"/>
  <c r="AA48" i="37" s="1"/>
  <c r="AA47" i="37" s="1"/>
  <c r="X50" i="37"/>
  <c r="X49" i="37" s="1"/>
  <c r="X48" i="37" s="1"/>
  <c r="X47" i="37" s="1"/>
  <c r="W50" i="37"/>
  <c r="V50" i="37"/>
  <c r="U50" i="37"/>
  <c r="U49" i="37" s="1"/>
  <c r="U48" i="37" s="1"/>
  <c r="U47" i="37" s="1"/>
  <c r="T50" i="37"/>
  <c r="S50" i="37"/>
  <c r="S49" i="37" s="1"/>
  <c r="S48" i="37" s="1"/>
  <c r="S47" i="37" s="1"/>
  <c r="R50" i="37"/>
  <c r="R49" i="37" s="1"/>
  <c r="R48" i="37" s="1"/>
  <c r="R47" i="37" s="1"/>
  <c r="Q50" i="37"/>
  <c r="P50" i="37"/>
  <c r="P49" i="37" s="1"/>
  <c r="P48" i="37" s="1"/>
  <c r="P47" i="37" s="1"/>
  <c r="O50" i="37"/>
  <c r="N50" i="37"/>
  <c r="M50" i="37"/>
  <c r="M49" i="37" s="1"/>
  <c r="M48" i="37" s="1"/>
  <c r="M47" i="37" s="1"/>
  <c r="L50" i="37"/>
  <c r="K50" i="37"/>
  <c r="K49" i="37" s="1"/>
  <c r="K48" i="37" s="1"/>
  <c r="K47" i="37" s="1"/>
  <c r="J50" i="37"/>
  <c r="J49" i="37" s="1"/>
  <c r="J48" i="37" s="1"/>
  <c r="J47" i="37" s="1"/>
  <c r="I50" i="37"/>
  <c r="W49" i="37"/>
  <c r="W48" i="37" s="1"/>
  <c r="W47" i="37" s="1"/>
  <c r="V49" i="37"/>
  <c r="V48" i="37" s="1"/>
  <c r="V47" i="37" s="1"/>
  <c r="T49" i="37"/>
  <c r="T48" i="37" s="1"/>
  <c r="T47" i="37" s="1"/>
  <c r="Q49" i="37"/>
  <c r="Q48" i="37" s="1"/>
  <c r="Q47" i="37" s="1"/>
  <c r="O49" i="37"/>
  <c r="O48" i="37" s="1"/>
  <c r="O47" i="37" s="1"/>
  <c r="N49" i="37"/>
  <c r="N48" i="37" s="1"/>
  <c r="N47" i="37" s="1"/>
  <c r="L49" i="37"/>
  <c r="L48" i="37" s="1"/>
  <c r="L47" i="37" s="1"/>
  <c r="I49" i="37"/>
  <c r="I48" i="37" s="1"/>
  <c r="I47" i="37" s="1"/>
  <c r="AB45" i="37"/>
  <c r="AA45" i="37"/>
  <c r="Z45" i="37"/>
  <c r="Y45" i="37"/>
  <c r="AB44" i="37"/>
  <c r="AA44" i="37"/>
  <c r="Z44" i="37"/>
  <c r="Y44" i="37"/>
  <c r="AB43" i="37"/>
  <c r="AA43" i="37"/>
  <c r="Z43" i="37"/>
  <c r="Y43" i="37"/>
  <c r="AB42" i="37"/>
  <c r="AA42" i="37"/>
  <c r="Z42" i="37"/>
  <c r="Y42" i="37"/>
  <c r="X41" i="37"/>
  <c r="W41" i="37"/>
  <c r="V41" i="37"/>
  <c r="U41" i="37"/>
  <c r="T41" i="37"/>
  <c r="S41" i="37"/>
  <c r="R41" i="37"/>
  <c r="Q41" i="37"/>
  <c r="P41" i="37"/>
  <c r="O41" i="37"/>
  <c r="N41" i="37"/>
  <c r="M41" i="37"/>
  <c r="L41" i="37"/>
  <c r="K41" i="37"/>
  <c r="AA41" i="37" s="1"/>
  <c r="J41" i="37"/>
  <c r="Z41" i="37" s="1"/>
  <c r="I41" i="37"/>
  <c r="AB40" i="37"/>
  <c r="AA40" i="37"/>
  <c r="Z40" i="37"/>
  <c r="Y40" i="37"/>
  <c r="AB39" i="37"/>
  <c r="AA39" i="37"/>
  <c r="Z39" i="37"/>
  <c r="Y39" i="37"/>
  <c r="AB38" i="37"/>
  <c r="AA38" i="37"/>
  <c r="Z38" i="37"/>
  <c r="Y38" i="37"/>
  <c r="X37" i="37"/>
  <c r="X36" i="37" s="1"/>
  <c r="W37" i="37"/>
  <c r="V37" i="37"/>
  <c r="U37" i="37"/>
  <c r="T37" i="37"/>
  <c r="T36" i="37" s="1"/>
  <c r="S37" i="37"/>
  <c r="R37" i="37"/>
  <c r="R36" i="37" s="1"/>
  <c r="Q37" i="37"/>
  <c r="P37" i="37"/>
  <c r="P36" i="37" s="1"/>
  <c r="O37" i="37"/>
  <c r="N37" i="37"/>
  <c r="M37" i="37"/>
  <c r="L37" i="37"/>
  <c r="AB37" i="37" s="1"/>
  <c r="K37" i="37"/>
  <c r="AA37" i="37" s="1"/>
  <c r="J37" i="37"/>
  <c r="Z37" i="37" s="1"/>
  <c r="I37" i="37"/>
  <c r="V36" i="37"/>
  <c r="U36" i="37"/>
  <c r="S36" i="37"/>
  <c r="Q36" i="37"/>
  <c r="N36" i="37"/>
  <c r="M36" i="37"/>
  <c r="K36" i="37"/>
  <c r="I36" i="37"/>
  <c r="AB35" i="37"/>
  <c r="AA35" i="37"/>
  <c r="Z35" i="37"/>
  <c r="Y35" i="37"/>
  <c r="AB34" i="37"/>
  <c r="AA34" i="37"/>
  <c r="Z34" i="37"/>
  <c r="Y34" i="37"/>
  <c r="AB33" i="37"/>
  <c r="AA33" i="37"/>
  <c r="Z33" i="37"/>
  <c r="Y33" i="37"/>
  <c r="X32" i="37"/>
  <c r="W32" i="37"/>
  <c r="V32" i="37"/>
  <c r="U32" i="37"/>
  <c r="T32" i="37"/>
  <c r="S32" i="37"/>
  <c r="R32" i="37"/>
  <c r="Q32" i="37"/>
  <c r="P32" i="37"/>
  <c r="O32" i="37"/>
  <c r="N32" i="37"/>
  <c r="M32" i="37"/>
  <c r="L32" i="37"/>
  <c r="K32" i="37"/>
  <c r="AA32" i="37" s="1"/>
  <c r="J32" i="37"/>
  <c r="Z32" i="37" s="1"/>
  <c r="I32" i="37"/>
  <c r="AB31" i="37"/>
  <c r="AA31" i="37"/>
  <c r="Z31" i="37"/>
  <c r="Y31" i="37"/>
  <c r="X30" i="37"/>
  <c r="W30" i="37"/>
  <c r="V30" i="37"/>
  <c r="U30" i="37"/>
  <c r="T30" i="37"/>
  <c r="S30" i="37"/>
  <c r="R30" i="37"/>
  <c r="Q30" i="37"/>
  <c r="P30" i="37"/>
  <c r="O30" i="37"/>
  <c r="N30" i="37"/>
  <c r="M30" i="37"/>
  <c r="L30" i="37"/>
  <c r="K30" i="37"/>
  <c r="AA30" i="37" s="1"/>
  <c r="J30" i="37"/>
  <c r="Z30" i="37" s="1"/>
  <c r="I30" i="37"/>
  <c r="AB29" i="37"/>
  <c r="AA29" i="37"/>
  <c r="Z29" i="37"/>
  <c r="Y29" i="37"/>
  <c r="X28" i="37"/>
  <c r="W28" i="37"/>
  <c r="V28" i="37"/>
  <c r="U28" i="37"/>
  <c r="T28" i="37"/>
  <c r="S28" i="37"/>
  <c r="R28" i="37"/>
  <c r="Q28" i="37"/>
  <c r="P28" i="37"/>
  <c r="O28" i="37"/>
  <c r="N28" i="37"/>
  <c r="M28" i="37"/>
  <c r="L28" i="37"/>
  <c r="AB28" i="37" s="1"/>
  <c r="K28" i="37"/>
  <c r="AA28" i="37" s="1"/>
  <c r="J28" i="37"/>
  <c r="Z28" i="37" s="1"/>
  <c r="I28" i="37"/>
  <c r="AB27" i="37"/>
  <c r="AA27" i="37"/>
  <c r="Z27" i="37"/>
  <c r="Y27" i="37"/>
  <c r="AB26" i="37"/>
  <c r="AA26" i="37"/>
  <c r="Z26" i="37"/>
  <c r="Y26" i="37"/>
  <c r="X25" i="37"/>
  <c r="W25" i="37"/>
  <c r="V25" i="37"/>
  <c r="U25" i="37"/>
  <c r="U24" i="37" s="1"/>
  <c r="U23" i="37" s="1"/>
  <c r="T25" i="37"/>
  <c r="S25" i="37"/>
  <c r="S24" i="37" s="1"/>
  <c r="S23" i="37" s="1"/>
  <c r="R25" i="37"/>
  <c r="R24" i="37" s="1"/>
  <c r="R23" i="37" s="1"/>
  <c r="Q25" i="37"/>
  <c r="Q24" i="37" s="1"/>
  <c r="Q23" i="37" s="1"/>
  <c r="P25" i="37"/>
  <c r="O25" i="37"/>
  <c r="O24" i="37" s="1"/>
  <c r="O23" i="37" s="1"/>
  <c r="N25" i="37"/>
  <c r="M25" i="37"/>
  <c r="M24" i="37" s="1"/>
  <c r="M23" i="37" s="1"/>
  <c r="L25" i="37"/>
  <c r="K25" i="37"/>
  <c r="K24" i="37" s="1"/>
  <c r="J25" i="37"/>
  <c r="I25" i="37"/>
  <c r="I24" i="37" s="1"/>
  <c r="X24" i="37"/>
  <c r="W24" i="37"/>
  <c r="V24" i="37"/>
  <c r="V23" i="37" s="1"/>
  <c r="T24" i="37"/>
  <c r="T23" i="37" s="1"/>
  <c r="P24" i="37"/>
  <c r="P23" i="37" s="1"/>
  <c r="N24" i="37"/>
  <c r="N23" i="37" s="1"/>
  <c r="L24" i="37"/>
  <c r="J24" i="37"/>
  <c r="J23" i="37" s="1"/>
  <c r="X23" i="37"/>
  <c r="W23" i="37"/>
  <c r="AB22" i="37"/>
  <c r="AA22" i="37"/>
  <c r="Z22" i="37"/>
  <c r="Y22" i="37"/>
  <c r="AB21" i="37"/>
  <c r="AA21" i="37"/>
  <c r="Z21" i="37"/>
  <c r="Y21" i="37"/>
  <c r="X20" i="37"/>
  <c r="W20" i="37"/>
  <c r="V20" i="37"/>
  <c r="U20" i="37"/>
  <c r="T20" i="37"/>
  <c r="S20" i="37"/>
  <c r="R20" i="37"/>
  <c r="Q20" i="37"/>
  <c r="P20" i="37"/>
  <c r="O20" i="37"/>
  <c r="N20" i="37"/>
  <c r="M20" i="37"/>
  <c r="L20" i="37"/>
  <c r="K20" i="37"/>
  <c r="AA20" i="37" s="1"/>
  <c r="J20" i="37"/>
  <c r="I20" i="37"/>
  <c r="Y20" i="37" s="1"/>
  <c r="AB19" i="37"/>
  <c r="AA19" i="37"/>
  <c r="Z19" i="37"/>
  <c r="Y19" i="37"/>
  <c r="AB18" i="37"/>
  <c r="AA18" i="37"/>
  <c r="Z18" i="37"/>
  <c r="Y18" i="37"/>
  <c r="X17" i="37"/>
  <c r="W17" i="37"/>
  <c r="W16" i="37" s="1"/>
  <c r="V17" i="37"/>
  <c r="U17" i="37"/>
  <c r="U16" i="37" s="1"/>
  <c r="T17" i="37"/>
  <c r="S17" i="37"/>
  <c r="R17" i="37"/>
  <c r="R16" i="37" s="1"/>
  <c r="Q17" i="37"/>
  <c r="Q16" i="37" s="1"/>
  <c r="P17" i="37"/>
  <c r="O17" i="37"/>
  <c r="O16" i="37" s="1"/>
  <c r="N17" i="37"/>
  <c r="M17" i="37"/>
  <c r="M16" i="37" s="1"/>
  <c r="L17" i="37"/>
  <c r="AB17" i="37" s="1"/>
  <c r="K17" i="37"/>
  <c r="AA17" i="37" s="1"/>
  <c r="J17" i="37"/>
  <c r="Z17" i="37" s="1"/>
  <c r="I17" i="37"/>
  <c r="X16" i="37"/>
  <c r="V16" i="37"/>
  <c r="T16" i="37"/>
  <c r="S16" i="37"/>
  <c r="P16" i="37"/>
  <c r="N16" i="37"/>
  <c r="L16" i="37"/>
  <c r="J16" i="37"/>
  <c r="AB15" i="37"/>
  <c r="AA15" i="37"/>
  <c r="Z15" i="37"/>
  <c r="Y15" i="37"/>
  <c r="X14" i="37"/>
  <c r="W14" i="37"/>
  <c r="V14" i="37"/>
  <c r="U14" i="37"/>
  <c r="T14" i="37"/>
  <c r="S14" i="37"/>
  <c r="R14" i="37"/>
  <c r="Q14" i="37"/>
  <c r="P14" i="37"/>
  <c r="O14" i="37"/>
  <c r="N14" i="37"/>
  <c r="M14" i="37"/>
  <c r="L14" i="37"/>
  <c r="K14" i="37"/>
  <c r="J14" i="37"/>
  <c r="Z14" i="37" s="1"/>
  <c r="I14" i="37"/>
  <c r="AB13" i="37"/>
  <c r="AA13" i="37"/>
  <c r="Z13" i="37"/>
  <c r="Y13" i="37"/>
  <c r="AB12" i="37"/>
  <c r="AA12" i="37"/>
  <c r="Z12" i="37"/>
  <c r="Y12" i="37"/>
  <c r="X11" i="37"/>
  <c r="X10" i="37" s="1"/>
  <c r="X9" i="37" s="1"/>
  <c r="X8" i="37" s="1"/>
  <c r="W11" i="37"/>
  <c r="V11" i="37"/>
  <c r="V10" i="37" s="1"/>
  <c r="V9" i="37" s="1"/>
  <c r="V8" i="37" s="1"/>
  <c r="U11" i="37"/>
  <c r="T11" i="37"/>
  <c r="T10" i="37" s="1"/>
  <c r="T9" i="37" s="1"/>
  <c r="T8" i="37" s="1"/>
  <c r="S11" i="37"/>
  <c r="R11" i="37"/>
  <c r="Q11" i="37"/>
  <c r="Q10" i="37" s="1"/>
  <c r="Q9" i="37" s="1"/>
  <c r="Q8" i="37" s="1"/>
  <c r="P11" i="37"/>
  <c r="P10" i="37" s="1"/>
  <c r="P9" i="37" s="1"/>
  <c r="P8" i="37" s="1"/>
  <c r="O11" i="37"/>
  <c r="N11" i="37"/>
  <c r="N10" i="37" s="1"/>
  <c r="N9" i="37" s="1"/>
  <c r="N8" i="37" s="1"/>
  <c r="M11" i="37"/>
  <c r="L11" i="37"/>
  <c r="L10" i="37" s="1"/>
  <c r="K11" i="37"/>
  <c r="AA11" i="37" s="1"/>
  <c r="J11" i="37"/>
  <c r="J10" i="37" s="1"/>
  <c r="J9" i="37" s="1"/>
  <c r="J8" i="37" s="1"/>
  <c r="I11" i="37"/>
  <c r="Y11" i="37" s="1"/>
  <c r="W10" i="37"/>
  <c r="W9" i="37" s="1"/>
  <c r="W8" i="37" s="1"/>
  <c r="U10" i="37"/>
  <c r="U9" i="37" s="1"/>
  <c r="U8" i="37" s="1"/>
  <c r="S10" i="37"/>
  <c r="R10" i="37"/>
  <c r="O10" i="37"/>
  <c r="O9" i="37" s="1"/>
  <c r="M10" i="37"/>
  <c r="M9" i="37" s="1"/>
  <c r="M8" i="37" s="1"/>
  <c r="K10" i="37"/>
  <c r="AA10" i="37" s="1"/>
  <c r="AA9" i="37" s="1"/>
  <c r="I10" i="37"/>
  <c r="S9" i="37"/>
  <c r="R9" i="37"/>
  <c r="R8" i="37" s="1"/>
  <c r="S8" i="37"/>
  <c r="AB7" i="37"/>
  <c r="AA7" i="37"/>
  <c r="Z7" i="37"/>
  <c r="Y7" i="37"/>
  <c r="AB6" i="37"/>
  <c r="AA6" i="37"/>
  <c r="Z6" i="37"/>
  <c r="Y6" i="37"/>
  <c r="X5" i="37"/>
  <c r="X3" i="37" s="1"/>
  <c r="W5" i="37"/>
  <c r="V5" i="37"/>
  <c r="U5" i="37"/>
  <c r="T5" i="37"/>
  <c r="T3" i="37" s="1"/>
  <c r="S5" i="37"/>
  <c r="R5" i="37"/>
  <c r="Q5" i="37"/>
  <c r="Q3" i="37" s="1"/>
  <c r="P5" i="37"/>
  <c r="O5" i="37"/>
  <c r="N5" i="37"/>
  <c r="M5" i="37"/>
  <c r="M3" i="37" s="1"/>
  <c r="L5" i="37"/>
  <c r="K5" i="37"/>
  <c r="AA5" i="37" s="1"/>
  <c r="J5" i="37"/>
  <c r="I5" i="37"/>
  <c r="AB4" i="37"/>
  <c r="AA4" i="37"/>
  <c r="Z4" i="37"/>
  <c r="Y4" i="37"/>
  <c r="M108" i="37" l="1"/>
  <c r="U108" i="37"/>
  <c r="K108" i="37"/>
  <c r="U138" i="37"/>
  <c r="Z138" i="37"/>
  <c r="N95" i="37"/>
  <c r="Z16" i="37"/>
  <c r="Z23" i="37"/>
  <c r="O36" i="37"/>
  <c r="W36" i="37"/>
  <c r="M52" i="37"/>
  <c r="U52" i="37"/>
  <c r="O52" i="37"/>
  <c r="W52" i="37"/>
  <c r="O95" i="37"/>
  <c r="Z95" i="37"/>
  <c r="AA108" i="37"/>
  <c r="P3" i="37"/>
  <c r="K9" i="37"/>
  <c r="K8" i="37" s="1"/>
  <c r="W3" i="37"/>
  <c r="K16" i="37"/>
  <c r="AB24" i="37"/>
  <c r="P52" i="37"/>
  <c r="X52" i="37"/>
  <c r="T52" i="37"/>
  <c r="L95" i="37"/>
  <c r="W95" i="37"/>
  <c r="K95" i="37"/>
  <c r="S95" i="37"/>
  <c r="AA134" i="37"/>
  <c r="M138" i="37"/>
  <c r="P138" i="37"/>
  <c r="J138" i="37"/>
  <c r="J52" i="37"/>
  <c r="R52" i="37"/>
  <c r="I52" i="37"/>
  <c r="Q52" i="37"/>
  <c r="P95" i="37"/>
  <c r="I95" i="37"/>
  <c r="Q95" i="37"/>
  <c r="U121" i="37"/>
  <c r="Q167" i="37"/>
  <c r="R3" i="37"/>
  <c r="S3" i="37"/>
  <c r="N52" i="37"/>
  <c r="V52" i="37"/>
  <c r="M95" i="37"/>
  <c r="U95" i="37"/>
  <c r="O138" i="37"/>
  <c r="P167" i="37"/>
  <c r="Y17" i="37"/>
  <c r="I16" i="37"/>
  <c r="Y16" i="37" s="1"/>
  <c r="Y24" i="37"/>
  <c r="I23" i="37"/>
  <c r="Y23" i="37" s="1"/>
  <c r="Z8" i="37"/>
  <c r="O8" i="37"/>
  <c r="O3" i="37" s="1"/>
  <c r="K23" i="37"/>
  <c r="AA23" i="37" s="1"/>
  <c r="AA24" i="37"/>
  <c r="U3" i="37"/>
  <c r="O46" i="37"/>
  <c r="L52" i="37"/>
  <c r="AA16" i="37"/>
  <c r="K3" i="37"/>
  <c r="AA3" i="37" s="1"/>
  <c r="V3" i="37"/>
  <c r="Y10" i="37"/>
  <c r="Y9" i="37" s="1"/>
  <c r="I9" i="37"/>
  <c r="I8" i="37" s="1"/>
  <c r="Z5" i="37"/>
  <c r="J3" i="37"/>
  <c r="AB5" i="37"/>
  <c r="N3" i="37"/>
  <c r="AB10" i="37"/>
  <c r="AB9" i="37" s="1"/>
  <c r="L9" i="37"/>
  <c r="L8" i="37" s="1"/>
  <c r="AB8" i="37" s="1"/>
  <c r="AA14" i="37"/>
  <c r="AA36" i="37"/>
  <c r="I138" i="37"/>
  <c r="Z11" i="37"/>
  <c r="Y14" i="37"/>
  <c r="Z20" i="37"/>
  <c r="Y30" i="37"/>
  <c r="AB32" i="37"/>
  <c r="Y41" i="37"/>
  <c r="AB53" i="37"/>
  <c r="AB52" i="37" s="1"/>
  <c r="AB55" i="37"/>
  <c r="AB108" i="37"/>
  <c r="N138" i="37"/>
  <c r="AB16" i="37"/>
  <c r="S121" i="37"/>
  <c r="S46" i="37" s="1"/>
  <c r="S213" i="37" s="1"/>
  <c r="L121" i="37"/>
  <c r="T121" i="37"/>
  <c r="R138" i="37"/>
  <c r="K54" i="37"/>
  <c r="K53" i="37" s="1"/>
  <c r="Y25" i="37"/>
  <c r="Y36" i="37"/>
  <c r="V121" i="37"/>
  <c r="Q138" i="37"/>
  <c r="Z10" i="37"/>
  <c r="Z9" i="37" s="1"/>
  <c r="AB11" i="37"/>
  <c r="AB20" i="37"/>
  <c r="Z24" i="37"/>
  <c r="AA25" i="37"/>
  <c r="Y5" i="37"/>
  <c r="AB14" i="37"/>
  <c r="L23" i="37"/>
  <c r="AB23" i="37" s="1"/>
  <c r="Z25" i="37"/>
  <c r="Y28" i="37"/>
  <c r="AB30" i="37"/>
  <c r="J36" i="37"/>
  <c r="Z36" i="37" s="1"/>
  <c r="Y37" i="37"/>
  <c r="AB41" i="37"/>
  <c r="AB95" i="37"/>
  <c r="L108" i="37"/>
  <c r="J167" i="37"/>
  <c r="AB134" i="37"/>
  <c r="AB121" i="37" s="1"/>
  <c r="Y95" i="37"/>
  <c r="AB25" i="37"/>
  <c r="Y32" i="37"/>
  <c r="L36" i="37"/>
  <c r="AB36" i="37" s="1"/>
  <c r="Y53" i="37"/>
  <c r="Y52" i="37" s="1"/>
  <c r="Y55" i="37"/>
  <c r="K121" i="37"/>
  <c r="Y138" i="37"/>
  <c r="V138" i="37"/>
  <c r="Z52" i="37"/>
  <c r="V108" i="37"/>
  <c r="W138" i="37"/>
  <c r="J121" i="37"/>
  <c r="J46" i="37" s="1"/>
  <c r="J213" i="37" s="1"/>
  <c r="Z121" i="37"/>
  <c r="AA121" i="37"/>
  <c r="I108" i="37"/>
  <c r="I46" i="37" s="1"/>
  <c r="Y108" i="37"/>
  <c r="X121" i="37"/>
  <c r="X46" i="37" s="1"/>
  <c r="X213" i="37" s="1"/>
  <c r="R121" i="37"/>
  <c r="AA139" i="37"/>
  <c r="AA138" i="37" s="1"/>
  <c r="T138" i="37"/>
  <c r="Q108" i="37"/>
  <c r="Q46" i="37" s="1"/>
  <c r="Q213" i="37" s="1"/>
  <c r="P121" i="37"/>
  <c r="P46" i="37" s="1"/>
  <c r="P213" i="37" s="1"/>
  <c r="L167" i="37"/>
  <c r="AA167" i="37"/>
  <c r="L140" i="37"/>
  <c r="L139" i="37" s="1"/>
  <c r="K167" i="37"/>
  <c r="Z167" i="37"/>
  <c r="AB136" i="37"/>
  <c r="AB167" i="37"/>
  <c r="R167" i="37"/>
  <c r="M167" i="37"/>
  <c r="M46" i="37" s="1"/>
  <c r="M213" i="37" s="1"/>
  <c r="N167" i="37"/>
  <c r="V167" i="37"/>
  <c r="AA141" i="37"/>
  <c r="U167" i="37"/>
  <c r="U46" i="37" s="1"/>
  <c r="U213" i="37" s="1"/>
  <c r="T167" i="37"/>
  <c r="W167" i="37"/>
  <c r="N46" i="37" l="1"/>
  <c r="N213" i="37" s="1"/>
  <c r="R46" i="37"/>
  <c r="R213" i="37" s="1"/>
  <c r="V46" i="37"/>
  <c r="V213" i="37" s="1"/>
  <c r="O213" i="37"/>
  <c r="Z213" i="37"/>
  <c r="W46" i="37"/>
  <c r="W213" i="37" s="1"/>
  <c r="T46" i="37"/>
  <c r="T213" i="37" s="1"/>
  <c r="AA8" i="37"/>
  <c r="Y8" i="37"/>
  <c r="I3" i="37"/>
  <c r="Y3" i="37" s="1"/>
  <c r="Y46" i="37"/>
  <c r="L3" i="37"/>
  <c r="AB3" i="37" s="1"/>
  <c r="AB139" i="37"/>
  <c r="AB138" i="37" s="1"/>
  <c r="AB46" i="37" s="1"/>
  <c r="L138" i="37"/>
  <c r="L46" i="37" s="1"/>
  <c r="L213" i="37" s="1"/>
  <c r="AB213" i="37" s="1"/>
  <c r="Z46" i="37"/>
  <c r="AA53" i="37"/>
  <c r="AA52" i="37" s="1"/>
  <c r="AA46" i="37" s="1"/>
  <c r="K52" i="37"/>
  <c r="K46" i="37" s="1"/>
  <c r="K213" i="37" s="1"/>
  <c r="AA213" i="37" s="1"/>
  <c r="Z3" i="37"/>
  <c r="I213" i="37" l="1"/>
  <c r="Y213" i="37" s="1"/>
  <c r="M458" i="34"/>
  <c r="M311" i="34"/>
  <c r="M190" i="34"/>
  <c r="M125" i="34"/>
  <c r="M473" i="34"/>
  <c r="M89" i="34"/>
  <c r="O89" i="34" s="1"/>
  <c r="P9" i="34" l="1"/>
  <c r="P34" i="34"/>
  <c r="P39" i="34"/>
  <c r="P51" i="34"/>
  <c r="P58" i="34"/>
  <c r="P73" i="34"/>
  <c r="P80" i="34"/>
  <c r="P79" i="34" s="1"/>
  <c r="P93" i="34"/>
  <c r="R93" i="34" s="1"/>
  <c r="P104" i="34"/>
  <c r="P116" i="34"/>
  <c r="R116" i="34" s="1"/>
  <c r="P121" i="34"/>
  <c r="R121" i="34" s="1"/>
  <c r="P124" i="34"/>
  <c r="P130" i="34"/>
  <c r="P153" i="34"/>
  <c r="R153" i="34" s="1"/>
  <c r="P162" i="34"/>
  <c r="P167" i="34"/>
  <c r="P174" i="34"/>
  <c r="P184" i="34"/>
  <c r="P189" i="34"/>
  <c r="P195" i="34"/>
  <c r="P200" i="34"/>
  <c r="P206" i="34"/>
  <c r="P217" i="34"/>
  <c r="P221" i="34"/>
  <c r="P220" i="34" s="1"/>
  <c r="P231" i="34"/>
  <c r="P236" i="34"/>
  <c r="P241" i="34"/>
  <c r="P240" i="34" s="1"/>
  <c r="P245" i="34"/>
  <c r="P248" i="34"/>
  <c r="P251" i="34"/>
  <c r="P255" i="34"/>
  <c r="P260" i="34"/>
  <c r="P263" i="34"/>
  <c r="P266" i="34"/>
  <c r="R266" i="34" s="1"/>
  <c r="P375" i="34"/>
  <c r="P371" i="34"/>
  <c r="P356" i="34"/>
  <c r="P346" i="34"/>
  <c r="P345" i="34" s="1"/>
  <c r="P341" i="34"/>
  <c r="P331" i="34"/>
  <c r="P330" i="34" s="1"/>
  <c r="P327" i="34"/>
  <c r="R327" i="34" s="1"/>
  <c r="P310" i="34"/>
  <c r="P296" i="34"/>
  <c r="P288" i="34"/>
  <c r="P285" i="34"/>
  <c r="P270" i="34"/>
  <c r="P402" i="34"/>
  <c r="P401" i="34" s="1"/>
  <c r="P392" i="34"/>
  <c r="P391" i="34" s="1"/>
  <c r="P382" i="34"/>
  <c r="P410" i="34"/>
  <c r="P421" i="34"/>
  <c r="R421" i="34" s="1"/>
  <c r="P427" i="34"/>
  <c r="R427" i="34" s="1"/>
  <c r="P436" i="34"/>
  <c r="P439" i="34"/>
  <c r="R439" i="34" s="1"/>
  <c r="P443" i="34"/>
  <c r="P442" i="34" s="1"/>
  <c r="P457" i="34"/>
  <c r="R457" i="34" s="1"/>
  <c r="P462" i="34"/>
  <c r="P465" i="34"/>
  <c r="R465" i="34" s="1"/>
  <c r="P469" i="34"/>
  <c r="R469" i="34" s="1"/>
  <c r="P472" i="34"/>
  <c r="R475" i="34"/>
  <c r="R473" i="34"/>
  <c r="R466" i="34"/>
  <c r="R463" i="34"/>
  <c r="R460" i="34"/>
  <c r="R458" i="34"/>
  <c r="R454" i="34"/>
  <c r="R452" i="34"/>
  <c r="R450" i="34"/>
  <c r="R448" i="34"/>
  <c r="R446" i="34"/>
  <c r="R444" i="34"/>
  <c r="R437" i="34"/>
  <c r="R434" i="34"/>
  <c r="R432" i="34"/>
  <c r="R430" i="34"/>
  <c r="R428" i="34"/>
  <c r="R424" i="34"/>
  <c r="R422" i="34"/>
  <c r="R417" i="34"/>
  <c r="R415" i="34"/>
  <c r="R413" i="34"/>
  <c r="R411" i="34"/>
  <c r="R405" i="34"/>
  <c r="R403" i="34"/>
  <c r="R399" i="34"/>
  <c r="R397" i="34"/>
  <c r="R395" i="34"/>
  <c r="R393" i="34"/>
  <c r="R389" i="34"/>
  <c r="R387" i="34"/>
  <c r="R385" i="34"/>
  <c r="R383" i="34"/>
  <c r="R380" i="34"/>
  <c r="R378" i="34"/>
  <c r="R376" i="34"/>
  <c r="R372" i="34"/>
  <c r="R369" i="34"/>
  <c r="R365" i="34"/>
  <c r="R363" i="34"/>
  <c r="R361" i="34"/>
  <c r="R359" i="34"/>
  <c r="R357" i="34"/>
  <c r="R353" i="34"/>
  <c r="R351" i="34"/>
  <c r="R349" i="34"/>
  <c r="R338" i="34"/>
  <c r="R336" i="34"/>
  <c r="R323" i="34"/>
  <c r="R321" i="34"/>
  <c r="R315" i="34"/>
  <c r="R313" i="34"/>
  <c r="R311" i="34"/>
  <c r="R303" i="34"/>
  <c r="R301" i="34"/>
  <c r="R299" i="34"/>
  <c r="R293" i="34"/>
  <c r="R291" i="34"/>
  <c r="R286" i="34"/>
  <c r="R279" i="34"/>
  <c r="R275" i="34"/>
  <c r="R271" i="34"/>
  <c r="R264" i="34"/>
  <c r="R261" i="34"/>
  <c r="R256" i="34"/>
  <c r="R249" i="34"/>
  <c r="R246" i="34"/>
  <c r="R237" i="34"/>
  <c r="R228" i="34"/>
  <c r="R226" i="34"/>
  <c r="R224" i="34"/>
  <c r="R222" i="34"/>
  <c r="R218" i="34"/>
  <c r="R212" i="34"/>
  <c r="R207" i="34"/>
  <c r="R204" i="34"/>
  <c r="R201" i="34"/>
  <c r="R196" i="34"/>
  <c r="R192" i="34"/>
  <c r="R190" i="34"/>
  <c r="R185" i="34"/>
  <c r="R179" i="34"/>
  <c r="R177" i="34"/>
  <c r="R175" i="34"/>
  <c r="R172" i="34"/>
  <c r="R168" i="34"/>
  <c r="R163" i="34"/>
  <c r="R149" i="34"/>
  <c r="R143" i="34"/>
  <c r="R131" i="34"/>
  <c r="R127" i="34"/>
  <c r="R125" i="34"/>
  <c r="R113" i="34"/>
  <c r="R111" i="34"/>
  <c r="R109" i="34"/>
  <c r="R105" i="34"/>
  <c r="R83" i="34"/>
  <c r="R76" i="34"/>
  <c r="R74" i="34"/>
  <c r="R69" i="34"/>
  <c r="R63" i="34"/>
  <c r="R61" i="34"/>
  <c r="R59" i="34"/>
  <c r="R54" i="34"/>
  <c r="R52" i="34"/>
  <c r="R48" i="34"/>
  <c r="R46" i="34"/>
  <c r="R44" i="34"/>
  <c r="R42" i="34"/>
  <c r="R40" i="34"/>
  <c r="R37" i="34"/>
  <c r="R35" i="34"/>
  <c r="R32" i="34"/>
  <c r="R30" i="34"/>
  <c r="R26" i="34"/>
  <c r="R20" i="34"/>
  <c r="R14" i="34"/>
  <c r="R12" i="34"/>
  <c r="R10" i="34"/>
  <c r="R472" i="34"/>
  <c r="P340" i="34" l="1"/>
  <c r="R340" i="34" s="1"/>
  <c r="R341" i="34"/>
  <c r="R436" i="34"/>
  <c r="R443" i="34"/>
  <c r="R34" i="34"/>
  <c r="R51" i="34"/>
  <c r="R73" i="34"/>
  <c r="R80" i="34"/>
  <c r="R104" i="34"/>
  <c r="R130" i="34"/>
  <c r="R162" i="34"/>
  <c r="R174" i="34"/>
  <c r="R189" i="34"/>
  <c r="R217" i="34"/>
  <c r="R231" i="34"/>
  <c r="R248" i="34"/>
  <c r="R263" i="34"/>
  <c r="R382" i="34"/>
  <c r="R285" i="34"/>
  <c r="R296" i="34"/>
  <c r="R356" i="34"/>
  <c r="P409" i="34"/>
  <c r="P269" i="34"/>
  <c r="P309" i="34"/>
  <c r="R309" i="34" s="1"/>
  <c r="P129" i="34"/>
  <c r="P92" i="34"/>
  <c r="P50" i="34"/>
  <c r="R50" i="34" s="1"/>
  <c r="R9" i="34"/>
  <c r="R39" i="34"/>
  <c r="R270" i="34"/>
  <c r="R288" i="34"/>
  <c r="P456" i="34"/>
  <c r="P244" i="34"/>
  <c r="R244" i="34" s="1"/>
  <c r="P166" i="34"/>
  <c r="R124" i="34"/>
  <c r="R184" i="34"/>
  <c r="R206" i="34"/>
  <c r="R236" i="34"/>
  <c r="R251" i="34"/>
  <c r="R260" i="34"/>
  <c r="R391" i="34"/>
  <c r="R442" i="34"/>
  <c r="R462" i="34"/>
  <c r="P468" i="34"/>
  <c r="P426" i="34"/>
  <c r="P374" i="34"/>
  <c r="P254" i="34"/>
  <c r="P230" i="34"/>
  <c r="P194" i="34"/>
  <c r="R194" i="34" s="1"/>
  <c r="P115" i="34"/>
  <c r="P8" i="34"/>
  <c r="R240" i="34"/>
  <c r="R220" i="34"/>
  <c r="R58" i="34"/>
  <c r="R200" i="34"/>
  <c r="R255" i="34"/>
  <c r="R331" i="34"/>
  <c r="R371" i="34"/>
  <c r="P355" i="34"/>
  <c r="R241" i="34"/>
  <c r="R401" i="34"/>
  <c r="R330" i="34"/>
  <c r="R402" i="34"/>
  <c r="R195" i="34"/>
  <c r="R345" i="34"/>
  <c r="R375" i="34"/>
  <c r="R392" i="34"/>
  <c r="R410" i="34"/>
  <c r="R79" i="34"/>
  <c r="R167" i="34"/>
  <c r="R221" i="34"/>
  <c r="R245" i="34"/>
  <c r="R310" i="34"/>
  <c r="R346" i="34"/>
  <c r="N288" i="34"/>
  <c r="P7" i="34" l="1"/>
  <c r="R269" i="34"/>
  <c r="R129" i="34"/>
  <c r="P239" i="34"/>
  <c r="R468" i="34"/>
  <c r="P91" i="34"/>
  <c r="R91" i="34" s="1"/>
  <c r="R115" i="34"/>
  <c r="R409" i="34"/>
  <c r="R230" i="34"/>
  <c r="R426" i="34"/>
  <c r="R374" i="34"/>
  <c r="R456" i="34"/>
  <c r="P344" i="34"/>
  <c r="P165" i="34"/>
  <c r="R165" i="34" s="1"/>
  <c r="R355" i="34"/>
  <c r="R254" i="34"/>
  <c r="R166" i="34"/>
  <c r="R92" i="34"/>
  <c r="R8" i="34"/>
  <c r="O479" i="34"/>
  <c r="P480" i="34" l="1"/>
  <c r="R7" i="34"/>
  <c r="Q480" i="34"/>
  <c r="R239" i="34"/>
  <c r="R344" i="34"/>
  <c r="E327" i="34"/>
  <c r="E439" i="34"/>
  <c r="E436" i="34"/>
  <c r="E469" i="34"/>
  <c r="E375" i="34"/>
  <c r="E341" i="34"/>
  <c r="E340" i="34" s="1"/>
  <c r="E266" i="34"/>
  <c r="E251" i="34"/>
  <c r="E241" i="34"/>
  <c r="E240" i="34" s="1"/>
  <c r="E231" i="34"/>
  <c r="E153" i="34"/>
  <c r="E121" i="34"/>
  <c r="E116" i="34"/>
  <c r="E93" i="34"/>
  <c r="R480" i="34" l="1"/>
  <c r="I478" i="34"/>
  <c r="J478" i="34" s="1"/>
  <c r="J476" i="34"/>
  <c r="J474" i="34"/>
  <c r="I471" i="34"/>
  <c r="J471" i="34" s="1"/>
  <c r="J469" i="34" s="1"/>
  <c r="J467" i="34"/>
  <c r="J465" i="34" s="1"/>
  <c r="J464" i="34"/>
  <c r="J462" i="34" s="1"/>
  <c r="J461" i="34"/>
  <c r="J459" i="34"/>
  <c r="J455" i="34"/>
  <c r="I453" i="34"/>
  <c r="J453" i="34" s="1"/>
  <c r="I451" i="34"/>
  <c r="J451" i="34" s="1"/>
  <c r="I449" i="34"/>
  <c r="J449" i="34" s="1"/>
  <c r="I447" i="34"/>
  <c r="J447" i="34" s="1"/>
  <c r="I441" i="34"/>
  <c r="J441" i="34" s="1"/>
  <c r="J439" i="34" s="1"/>
  <c r="I438" i="34"/>
  <c r="J438" i="34" s="1"/>
  <c r="J436" i="34" s="1"/>
  <c r="I435" i="34"/>
  <c r="J435" i="34" s="1"/>
  <c r="I433" i="34"/>
  <c r="J433" i="34" s="1"/>
  <c r="I431" i="34"/>
  <c r="J431" i="34" s="1"/>
  <c r="I429" i="34"/>
  <c r="J429" i="34" s="1"/>
  <c r="J425" i="34"/>
  <c r="J423" i="34"/>
  <c r="I420" i="34"/>
  <c r="J420" i="34" s="1"/>
  <c r="I418" i="34"/>
  <c r="J418" i="34" s="1"/>
  <c r="I416" i="34"/>
  <c r="J416" i="34" s="1"/>
  <c r="J414" i="34"/>
  <c r="J412" i="34"/>
  <c r="I408" i="34"/>
  <c r="J408" i="34" s="1"/>
  <c r="I404" i="34"/>
  <c r="J404" i="34" s="1"/>
  <c r="I400" i="34"/>
  <c r="J400" i="34" s="1"/>
  <c r="I398" i="34"/>
  <c r="J398" i="34" s="1"/>
  <c r="I396" i="34"/>
  <c r="J396" i="34" s="1"/>
  <c r="I394" i="34"/>
  <c r="J394" i="34" s="1"/>
  <c r="I390" i="34"/>
  <c r="J390" i="34" s="1"/>
  <c r="J388" i="34"/>
  <c r="I386" i="34"/>
  <c r="J386" i="34" s="1"/>
  <c r="J384" i="34"/>
  <c r="I381" i="34"/>
  <c r="J381" i="34" s="1"/>
  <c r="I379" i="34"/>
  <c r="J379" i="34" s="1"/>
  <c r="I377" i="34"/>
  <c r="J377" i="34" s="1"/>
  <c r="I373" i="34"/>
  <c r="J373" i="34" s="1"/>
  <c r="J371" i="34" s="1"/>
  <c r="I370" i="34"/>
  <c r="J370" i="34" s="1"/>
  <c r="I368" i="34"/>
  <c r="J368" i="34" s="1"/>
  <c r="I366" i="34"/>
  <c r="J366" i="34" s="1"/>
  <c r="I364" i="34"/>
  <c r="J364" i="34" s="1"/>
  <c r="I362" i="34"/>
  <c r="J362" i="34" s="1"/>
  <c r="I360" i="34"/>
  <c r="J360" i="34" s="1"/>
  <c r="I358" i="34"/>
  <c r="J358" i="34" s="1"/>
  <c r="I354" i="34"/>
  <c r="J354" i="34" s="1"/>
  <c r="J352" i="34"/>
  <c r="I350" i="34"/>
  <c r="J350" i="34" s="1"/>
  <c r="I348" i="34"/>
  <c r="J348" i="34" s="1"/>
  <c r="I343" i="34"/>
  <c r="J343" i="34" s="1"/>
  <c r="J341" i="34" s="1"/>
  <c r="J340" i="34" s="1"/>
  <c r="I339" i="34"/>
  <c r="J339" i="34" s="1"/>
  <c r="J337" i="34"/>
  <c r="I335" i="34"/>
  <c r="J335" i="34" s="1"/>
  <c r="I333" i="34"/>
  <c r="J333" i="34" s="1"/>
  <c r="I329" i="34"/>
  <c r="J329" i="34" s="1"/>
  <c r="J327" i="34" s="1"/>
  <c r="I326" i="34"/>
  <c r="J326" i="34" s="1"/>
  <c r="J324" i="34"/>
  <c r="J322" i="34"/>
  <c r="I320" i="34"/>
  <c r="J320" i="34" s="1"/>
  <c r="I318" i="34"/>
  <c r="J318" i="34" s="1"/>
  <c r="J316" i="34"/>
  <c r="J314" i="34"/>
  <c r="J312" i="34"/>
  <c r="I308" i="34"/>
  <c r="J308" i="34" s="1"/>
  <c r="I306" i="34"/>
  <c r="J306" i="34" s="1"/>
  <c r="J304" i="34"/>
  <c r="J302" i="34"/>
  <c r="I300" i="34"/>
  <c r="J300" i="34" s="1"/>
  <c r="I298" i="34"/>
  <c r="J298" i="34" s="1"/>
  <c r="I294" i="34"/>
  <c r="J294" i="34" s="1"/>
  <c r="I295" i="34"/>
  <c r="J295" i="34" s="1"/>
  <c r="J292" i="34"/>
  <c r="I290" i="34"/>
  <c r="J290" i="34" s="1"/>
  <c r="I287" i="34"/>
  <c r="J287" i="34" s="1"/>
  <c r="J285" i="34" s="1"/>
  <c r="I284" i="34"/>
  <c r="J284" i="34" s="1"/>
  <c r="I282" i="34"/>
  <c r="J282" i="34" s="1"/>
  <c r="J280" i="34"/>
  <c r="I278" i="34"/>
  <c r="J278" i="34" s="1"/>
  <c r="I276" i="34"/>
  <c r="J276" i="34" s="1"/>
  <c r="I274" i="34"/>
  <c r="J274" i="34" s="1"/>
  <c r="I272" i="34"/>
  <c r="J272" i="34" s="1"/>
  <c r="I268" i="34"/>
  <c r="J268" i="34" s="1"/>
  <c r="J266" i="34" s="1"/>
  <c r="I265" i="34"/>
  <c r="J265" i="34" s="1"/>
  <c r="J263" i="34" s="1"/>
  <c r="I262" i="34"/>
  <c r="J262" i="34" s="1"/>
  <c r="J260" i="34" s="1"/>
  <c r="I259" i="34"/>
  <c r="J259" i="34" s="1"/>
  <c r="I257" i="34"/>
  <c r="J257" i="34" s="1"/>
  <c r="I253" i="34"/>
  <c r="J253" i="34" s="1"/>
  <c r="J251" i="34" s="1"/>
  <c r="I250" i="34"/>
  <c r="J250" i="34" s="1"/>
  <c r="J248" i="34" s="1"/>
  <c r="I247" i="34"/>
  <c r="J247" i="34" s="1"/>
  <c r="J245" i="34" s="1"/>
  <c r="I243" i="34"/>
  <c r="J243" i="34" s="1"/>
  <c r="J241" i="34" s="1"/>
  <c r="J240" i="34" s="1"/>
  <c r="I238" i="34"/>
  <c r="J238" i="34" s="1"/>
  <c r="J236" i="34" s="1"/>
  <c r="I235" i="34"/>
  <c r="J235" i="34" s="1"/>
  <c r="I233" i="34"/>
  <c r="J233" i="34" s="1"/>
  <c r="I229" i="34"/>
  <c r="J229" i="34" s="1"/>
  <c r="I227" i="34"/>
  <c r="J227" i="34" s="1"/>
  <c r="I225" i="34"/>
  <c r="J225" i="34" s="1"/>
  <c r="I223" i="34"/>
  <c r="J223" i="34" s="1"/>
  <c r="I219" i="34"/>
  <c r="J219" i="34" s="1"/>
  <c r="J217" i="34" s="1"/>
  <c r="I216" i="34"/>
  <c r="J216" i="34" s="1"/>
  <c r="I215" i="34"/>
  <c r="J215" i="34" s="1"/>
  <c r="I213" i="34"/>
  <c r="J213" i="34" s="1"/>
  <c r="I211" i="34"/>
  <c r="J211" i="34" s="1"/>
  <c r="I209" i="34"/>
  <c r="J209" i="34" s="1"/>
  <c r="I208" i="34"/>
  <c r="J208" i="34" s="1"/>
  <c r="I205" i="34"/>
  <c r="J205" i="34" s="1"/>
  <c r="I203" i="34"/>
  <c r="J203" i="34" s="1"/>
  <c r="I202" i="34"/>
  <c r="J202" i="34" s="1"/>
  <c r="I199" i="34"/>
  <c r="J199" i="34" s="1"/>
  <c r="I197" i="34"/>
  <c r="J197" i="34" s="1"/>
  <c r="I193" i="34"/>
  <c r="J193" i="34" s="1"/>
  <c r="I191" i="34"/>
  <c r="J191" i="34" s="1"/>
  <c r="I188" i="34"/>
  <c r="J188" i="34" s="1"/>
  <c r="I186" i="34"/>
  <c r="J186" i="34" s="1"/>
  <c r="I183" i="34"/>
  <c r="J183" i="34" s="1"/>
  <c r="I182" i="34"/>
  <c r="J182" i="34" s="1"/>
  <c r="I180" i="34"/>
  <c r="J180" i="34" s="1"/>
  <c r="I178" i="34"/>
  <c r="J178" i="34" s="1"/>
  <c r="I176" i="34"/>
  <c r="J176" i="34" s="1"/>
  <c r="I173" i="34"/>
  <c r="J173" i="34" s="1"/>
  <c r="I171" i="34"/>
  <c r="J171" i="34" s="1"/>
  <c r="I169" i="34"/>
  <c r="J169" i="34" s="1"/>
  <c r="I164" i="34"/>
  <c r="J164" i="34" s="1"/>
  <c r="J162" i="34" s="1"/>
  <c r="I161" i="34"/>
  <c r="J161" i="34" s="1"/>
  <c r="I159" i="34"/>
  <c r="J159" i="34" s="1"/>
  <c r="I157" i="34"/>
  <c r="J157" i="34" s="1"/>
  <c r="I155" i="34"/>
  <c r="J155" i="34" s="1"/>
  <c r="I152" i="34"/>
  <c r="J152" i="34" s="1"/>
  <c r="I150" i="34"/>
  <c r="J150" i="34" s="1"/>
  <c r="I148" i="34"/>
  <c r="J148" i="34" s="1"/>
  <c r="I146" i="34"/>
  <c r="J146" i="34" s="1"/>
  <c r="I144" i="34"/>
  <c r="J144" i="34" s="1"/>
  <c r="I142" i="34"/>
  <c r="J142" i="34" s="1"/>
  <c r="I140" i="34"/>
  <c r="J140" i="34" s="1"/>
  <c r="I138" i="34"/>
  <c r="J138" i="34" s="1"/>
  <c r="I136" i="34"/>
  <c r="J136" i="34" s="1"/>
  <c r="I134" i="34"/>
  <c r="J134" i="34" s="1"/>
  <c r="I132" i="34"/>
  <c r="J132" i="34" s="1"/>
  <c r="I128" i="34"/>
  <c r="J128" i="34" s="1"/>
  <c r="I126" i="34"/>
  <c r="J126" i="34" s="1"/>
  <c r="I123" i="34"/>
  <c r="J123" i="34" s="1"/>
  <c r="J121" i="34" s="1"/>
  <c r="I120" i="34"/>
  <c r="J120" i="34" s="1"/>
  <c r="I118" i="34"/>
  <c r="J118" i="34" s="1"/>
  <c r="I114" i="34"/>
  <c r="J114" i="34" s="1"/>
  <c r="I112" i="34"/>
  <c r="J112" i="34" s="1"/>
  <c r="I110" i="34"/>
  <c r="J110" i="34" s="1"/>
  <c r="I108" i="34"/>
  <c r="J108" i="34" s="1"/>
  <c r="I106" i="34"/>
  <c r="J106" i="34" s="1"/>
  <c r="I103" i="34"/>
  <c r="J103" i="34" s="1"/>
  <c r="I101" i="34"/>
  <c r="J101" i="34" s="1"/>
  <c r="I99" i="34"/>
  <c r="J99" i="34" s="1"/>
  <c r="I97" i="34"/>
  <c r="J97" i="34" s="1"/>
  <c r="I95" i="34"/>
  <c r="J95" i="34" s="1"/>
  <c r="I90" i="34"/>
  <c r="J90" i="34" s="1"/>
  <c r="I88" i="34"/>
  <c r="J88" i="34" s="1"/>
  <c r="I86" i="34"/>
  <c r="J86" i="34" s="1"/>
  <c r="I84" i="34"/>
  <c r="J84" i="34" s="1"/>
  <c r="I82" i="34"/>
  <c r="J82" i="34" s="1"/>
  <c r="I78" i="34"/>
  <c r="J78" i="34" s="1"/>
  <c r="I77" i="34"/>
  <c r="J77" i="34" s="1"/>
  <c r="I75" i="34"/>
  <c r="J75" i="34" s="1"/>
  <c r="I72" i="34"/>
  <c r="J72" i="34" s="1"/>
  <c r="I70" i="34"/>
  <c r="J70" i="34" s="1"/>
  <c r="I68" i="34"/>
  <c r="J68" i="34" s="1"/>
  <c r="I66" i="34"/>
  <c r="J66" i="34" s="1"/>
  <c r="I64" i="34"/>
  <c r="J64" i="34" s="1"/>
  <c r="I62" i="34"/>
  <c r="J62" i="34" s="1"/>
  <c r="I60" i="34"/>
  <c r="J60" i="34" s="1"/>
  <c r="I57" i="34"/>
  <c r="J57" i="34" s="1"/>
  <c r="I55" i="34"/>
  <c r="J55" i="34" s="1"/>
  <c r="I53" i="34"/>
  <c r="J53" i="34" s="1"/>
  <c r="I49" i="34"/>
  <c r="J49" i="34" s="1"/>
  <c r="I47" i="34"/>
  <c r="J47" i="34" s="1"/>
  <c r="I45" i="34"/>
  <c r="J45" i="34" s="1"/>
  <c r="I43" i="34"/>
  <c r="J43" i="34" s="1"/>
  <c r="I41" i="34"/>
  <c r="J41" i="34" s="1"/>
  <c r="I38" i="34"/>
  <c r="J38" i="34" s="1"/>
  <c r="I36" i="34"/>
  <c r="J36" i="34" s="1"/>
  <c r="I33" i="34"/>
  <c r="J33" i="34" s="1"/>
  <c r="I31" i="34"/>
  <c r="J31" i="34" s="1"/>
  <c r="I29" i="34"/>
  <c r="J29" i="34" s="1"/>
  <c r="I27" i="34"/>
  <c r="J27" i="34" s="1"/>
  <c r="I25" i="34"/>
  <c r="J25" i="34" s="1"/>
  <c r="I23" i="34"/>
  <c r="J23" i="34" s="1"/>
  <c r="I21" i="34"/>
  <c r="J21" i="34" s="1"/>
  <c r="I19" i="34"/>
  <c r="J19" i="34" s="1"/>
  <c r="I17" i="34"/>
  <c r="J17" i="34" s="1"/>
  <c r="I15" i="34"/>
  <c r="J15" i="34" s="1"/>
  <c r="I13" i="34"/>
  <c r="J13" i="34" s="1"/>
  <c r="I11" i="34"/>
  <c r="J11" i="34" s="1"/>
  <c r="E474" i="34"/>
  <c r="E461" i="34"/>
  <c r="E455" i="34"/>
  <c r="E453" i="34"/>
  <c r="E451" i="34"/>
  <c r="E447" i="34"/>
  <c r="E445" i="34"/>
  <c r="E431" i="34"/>
  <c r="E429" i="34"/>
  <c r="E406" i="34"/>
  <c r="E402" i="34" s="1"/>
  <c r="E401" i="34" s="1"/>
  <c r="E390" i="34"/>
  <c r="E388" i="34"/>
  <c r="E386" i="34"/>
  <c r="E384" i="34"/>
  <c r="E373" i="34"/>
  <c r="E371" i="34" s="1"/>
  <c r="E366" i="34"/>
  <c r="E362" i="34"/>
  <c r="E360" i="34"/>
  <c r="E358" i="34"/>
  <c r="E352" i="34"/>
  <c r="E339" i="34"/>
  <c r="E300" i="34"/>
  <c r="E287" i="34"/>
  <c r="E285" i="34" s="1"/>
  <c r="E280" i="34"/>
  <c r="E276" i="34"/>
  <c r="E272" i="34"/>
  <c r="E262" i="34"/>
  <c r="E260" i="34" s="1"/>
  <c r="E257" i="34"/>
  <c r="E255" i="34" s="1"/>
  <c r="E250" i="34"/>
  <c r="E248" i="34" s="1"/>
  <c r="E247" i="34"/>
  <c r="E245" i="34" s="1"/>
  <c r="E219" i="34"/>
  <c r="E217" i="34" s="1"/>
  <c r="E213" i="34"/>
  <c r="E205" i="34"/>
  <c r="E203" i="34"/>
  <c r="E202" i="34"/>
  <c r="E186" i="34"/>
  <c r="E184" i="34" s="1"/>
  <c r="E180" i="34"/>
  <c r="E178" i="34"/>
  <c r="E176" i="34"/>
  <c r="E173" i="34"/>
  <c r="E169" i="34"/>
  <c r="E164" i="34"/>
  <c r="E162" i="34" s="1"/>
  <c r="E144" i="34"/>
  <c r="E132" i="34"/>
  <c r="E114" i="34"/>
  <c r="E112" i="34"/>
  <c r="E110" i="34"/>
  <c r="E106" i="34"/>
  <c r="E90" i="34"/>
  <c r="E77" i="34"/>
  <c r="E62" i="34"/>
  <c r="E47" i="34"/>
  <c r="E45" i="34"/>
  <c r="E43" i="34"/>
  <c r="E41" i="34"/>
  <c r="E38" i="34"/>
  <c r="E36" i="34"/>
  <c r="E33" i="34"/>
  <c r="E31" i="34"/>
  <c r="E13" i="34"/>
  <c r="E11" i="34"/>
  <c r="J402" i="34" l="1"/>
  <c r="J401" i="34" s="1"/>
  <c r="E167" i="34"/>
  <c r="J51" i="34"/>
  <c r="J73" i="34"/>
  <c r="J93" i="34"/>
  <c r="J116" i="34"/>
  <c r="J153" i="34"/>
  <c r="J174" i="34"/>
  <c r="J206" i="34"/>
  <c r="J255" i="34"/>
  <c r="J254" i="34" s="1"/>
  <c r="J331" i="34"/>
  <c r="J330" i="34" s="1"/>
  <c r="J382" i="34"/>
  <c r="J410" i="34"/>
  <c r="J472" i="34"/>
  <c r="J468" i="34" s="1"/>
  <c r="J392" i="34"/>
  <c r="J391" i="34" s="1"/>
  <c r="J421" i="34"/>
  <c r="J427" i="34"/>
  <c r="J426" i="34" s="1"/>
  <c r="J443" i="34"/>
  <c r="J442" i="34" s="1"/>
  <c r="J457" i="34"/>
  <c r="J456" i="34" s="1"/>
  <c r="J200" i="34"/>
  <c r="J221" i="34"/>
  <c r="J220" i="34" s="1"/>
  <c r="J231" i="34"/>
  <c r="J230" i="34" s="1"/>
  <c r="J244" i="34"/>
  <c r="J270" i="34"/>
  <c r="J288" i="34"/>
  <c r="J296" i="34"/>
  <c r="J310" i="34"/>
  <c r="J309" i="34" s="1"/>
  <c r="J346" i="34"/>
  <c r="J345" i="34" s="1"/>
  <c r="J356" i="34"/>
  <c r="J355" i="34" s="1"/>
  <c r="J375" i="34"/>
  <c r="J184" i="34"/>
  <c r="J189" i="34"/>
  <c r="J195" i="34"/>
  <c r="J58" i="34"/>
  <c r="J80" i="34"/>
  <c r="J79" i="34" s="1"/>
  <c r="J104" i="34"/>
  <c r="J124" i="34"/>
  <c r="J130" i="34"/>
  <c r="J167" i="34"/>
  <c r="J9" i="34"/>
  <c r="J34" i="34"/>
  <c r="J39" i="34"/>
  <c r="E104" i="34"/>
  <c r="E92" i="34" s="1"/>
  <c r="E130" i="34"/>
  <c r="E129" i="34" s="1"/>
  <c r="E174" i="34"/>
  <c r="E200" i="34"/>
  <c r="E427" i="34"/>
  <c r="E426" i="34" s="1"/>
  <c r="E443" i="34"/>
  <c r="E442" i="34" s="1"/>
  <c r="E244" i="34"/>
  <c r="E34" i="34"/>
  <c r="E270" i="34"/>
  <c r="E382" i="34"/>
  <c r="E374" i="34" s="1"/>
  <c r="E197" i="34"/>
  <c r="E195" i="34" s="1"/>
  <c r="J115" i="34" l="1"/>
  <c r="J374" i="34"/>
  <c r="J50" i="34"/>
  <c r="J409" i="34"/>
  <c r="J129" i="34"/>
  <c r="J92" i="34"/>
  <c r="J269" i="34"/>
  <c r="J239" i="34" s="1"/>
  <c r="J194" i="34"/>
  <c r="J166" i="34"/>
  <c r="J8" i="34"/>
  <c r="E396" i="34"/>
  <c r="J7" i="34" l="1"/>
  <c r="J344" i="34"/>
  <c r="J91" i="34"/>
  <c r="J165" i="34"/>
  <c r="N402" i="34"/>
  <c r="N401" i="34" s="1"/>
  <c r="M402" i="34"/>
  <c r="M401" i="34" s="1"/>
  <c r="N410" i="34"/>
  <c r="M410" i="34"/>
  <c r="N421" i="34"/>
  <c r="M421" i="34"/>
  <c r="N427" i="34"/>
  <c r="M427" i="34"/>
  <c r="N436" i="34"/>
  <c r="M436" i="34"/>
  <c r="N439" i="34"/>
  <c r="M439" i="34"/>
  <c r="N443" i="34"/>
  <c r="N442" i="34" s="1"/>
  <c r="M443" i="34"/>
  <c r="M442" i="34" s="1"/>
  <c r="N457" i="34"/>
  <c r="M457" i="34"/>
  <c r="N462" i="34"/>
  <c r="M462" i="34"/>
  <c r="N465" i="34"/>
  <c r="M465" i="34"/>
  <c r="N469" i="34"/>
  <c r="M469" i="34"/>
  <c r="N472" i="34"/>
  <c r="M472" i="34"/>
  <c r="O475" i="34"/>
  <c r="O473" i="34"/>
  <c r="O466" i="34"/>
  <c r="O463" i="34"/>
  <c r="O460" i="34"/>
  <c r="O458" i="34"/>
  <c r="O454" i="34"/>
  <c r="O452" i="34"/>
  <c r="O450" i="34"/>
  <c r="O448" i="34"/>
  <c r="O446" i="34"/>
  <c r="O444" i="34"/>
  <c r="O437" i="34"/>
  <c r="O434" i="34"/>
  <c r="O432" i="34"/>
  <c r="O430" i="34"/>
  <c r="O428" i="34"/>
  <c r="O424" i="34"/>
  <c r="O422" i="34"/>
  <c r="O417" i="34"/>
  <c r="O415" i="34"/>
  <c r="O413" i="34"/>
  <c r="O411" i="34"/>
  <c r="O405" i="34"/>
  <c r="O403" i="34"/>
  <c r="O399" i="34"/>
  <c r="O397" i="34"/>
  <c r="O395" i="34"/>
  <c r="O393" i="34"/>
  <c r="N392" i="34"/>
  <c r="N391" i="34" s="1"/>
  <c r="M392" i="34"/>
  <c r="M391" i="34" s="1"/>
  <c r="N382" i="34"/>
  <c r="M382" i="34"/>
  <c r="N375" i="34"/>
  <c r="M375" i="34"/>
  <c r="O389" i="34"/>
  <c r="O387" i="34"/>
  <c r="O385" i="34"/>
  <c r="O383" i="34"/>
  <c r="O380" i="34"/>
  <c r="O378" i="34"/>
  <c r="O376" i="34"/>
  <c r="N371" i="34"/>
  <c r="M371" i="34"/>
  <c r="N356" i="34"/>
  <c r="M356" i="34"/>
  <c r="N346" i="34"/>
  <c r="N345" i="34" s="1"/>
  <c r="M346" i="34"/>
  <c r="M345" i="34" s="1"/>
  <c r="O372" i="34"/>
  <c r="O369" i="34"/>
  <c r="O365" i="34"/>
  <c r="O363" i="34"/>
  <c r="O361" i="34"/>
  <c r="O359" i="34"/>
  <c r="O357" i="34"/>
  <c r="O353" i="34"/>
  <c r="O351" i="34"/>
  <c r="O349" i="34"/>
  <c r="O338" i="34"/>
  <c r="O336" i="34"/>
  <c r="N341" i="34"/>
  <c r="N340" i="34" s="1"/>
  <c r="M341" i="34"/>
  <c r="M340" i="34" s="1"/>
  <c r="N331" i="34"/>
  <c r="N330" i="34" s="1"/>
  <c r="M331" i="34"/>
  <c r="M330" i="34" s="1"/>
  <c r="N327" i="34"/>
  <c r="M327" i="34"/>
  <c r="N310" i="34"/>
  <c r="M310" i="34"/>
  <c r="N296" i="34"/>
  <c r="M296" i="34"/>
  <c r="M288" i="34"/>
  <c r="N285" i="34"/>
  <c r="M285" i="34"/>
  <c r="O323" i="34"/>
  <c r="O321" i="34"/>
  <c r="O315" i="34"/>
  <c r="O313" i="34"/>
  <c r="O311" i="34"/>
  <c r="O303" i="34"/>
  <c r="O301" i="34"/>
  <c r="O299" i="34"/>
  <c r="O293" i="34"/>
  <c r="O291" i="34"/>
  <c r="O286" i="34"/>
  <c r="O279" i="34"/>
  <c r="O275" i="34"/>
  <c r="O271" i="34"/>
  <c r="N270" i="34"/>
  <c r="M270" i="34"/>
  <c r="N266" i="34"/>
  <c r="M266" i="34"/>
  <c r="N263" i="34"/>
  <c r="M263" i="34"/>
  <c r="N260" i="34"/>
  <c r="M260" i="34"/>
  <c r="N255" i="34"/>
  <c r="M255" i="34"/>
  <c r="N251" i="34"/>
  <c r="M251" i="34"/>
  <c r="N248" i="34"/>
  <c r="M248" i="34"/>
  <c r="N245" i="34"/>
  <c r="M245" i="34"/>
  <c r="N241" i="34"/>
  <c r="N240" i="34" s="1"/>
  <c r="M241" i="34"/>
  <c r="M240" i="34" s="1"/>
  <c r="N236" i="34"/>
  <c r="M236" i="34"/>
  <c r="N231" i="34"/>
  <c r="M231" i="34"/>
  <c r="N221" i="34"/>
  <c r="N220" i="34" s="1"/>
  <c r="M221" i="34"/>
  <c r="O264" i="34"/>
  <c r="O261" i="34"/>
  <c r="O256" i="34"/>
  <c r="O249" i="34"/>
  <c r="O246" i="34"/>
  <c r="O237" i="34"/>
  <c r="O228" i="34"/>
  <c r="O226" i="34"/>
  <c r="O224" i="34"/>
  <c r="O222" i="34"/>
  <c r="O218" i="34"/>
  <c r="N217" i="34"/>
  <c r="M217" i="34"/>
  <c r="N206" i="34"/>
  <c r="M206" i="34"/>
  <c r="N200" i="34"/>
  <c r="M200" i="34"/>
  <c r="N195" i="34"/>
  <c r="M195" i="34"/>
  <c r="O212" i="34"/>
  <c r="O207" i="34"/>
  <c r="O204" i="34"/>
  <c r="O201" i="34"/>
  <c r="O196" i="34"/>
  <c r="N189" i="34"/>
  <c r="M189" i="34"/>
  <c r="N184" i="34"/>
  <c r="M184" i="34"/>
  <c r="N174" i="34"/>
  <c r="M174" i="34"/>
  <c r="N167" i="34"/>
  <c r="M167" i="34"/>
  <c r="O192" i="34"/>
  <c r="O190" i="34"/>
  <c r="O185" i="34"/>
  <c r="O179" i="34"/>
  <c r="O177" i="34"/>
  <c r="O175" i="34"/>
  <c r="O172" i="34"/>
  <c r="O168" i="34"/>
  <c r="N162" i="34"/>
  <c r="M162" i="34"/>
  <c r="N153" i="34"/>
  <c r="M153" i="34"/>
  <c r="N130" i="34"/>
  <c r="M130" i="34"/>
  <c r="O163" i="34"/>
  <c r="O149" i="34"/>
  <c r="O143" i="34"/>
  <c r="O131" i="34"/>
  <c r="N124" i="34"/>
  <c r="M124" i="34"/>
  <c r="N121" i="34"/>
  <c r="M121" i="34"/>
  <c r="N116" i="34"/>
  <c r="M116" i="34"/>
  <c r="O127" i="34"/>
  <c r="O125" i="34"/>
  <c r="N104" i="34"/>
  <c r="M104" i="34"/>
  <c r="N93" i="34"/>
  <c r="M93" i="34"/>
  <c r="O113" i="34"/>
  <c r="O111" i="34"/>
  <c r="O109" i="34"/>
  <c r="O105" i="34"/>
  <c r="N80" i="34"/>
  <c r="N79" i="34" s="1"/>
  <c r="M80" i="34"/>
  <c r="M79" i="34" s="1"/>
  <c r="O83" i="34"/>
  <c r="N73" i="34"/>
  <c r="M73" i="34"/>
  <c r="N58" i="34"/>
  <c r="M58" i="34"/>
  <c r="O76" i="34"/>
  <c r="O74" i="34"/>
  <c r="O69" i="34"/>
  <c r="O63" i="34"/>
  <c r="O61" i="34"/>
  <c r="O59" i="34"/>
  <c r="N51" i="34"/>
  <c r="M51" i="34"/>
  <c r="O54" i="34"/>
  <c r="O52" i="34"/>
  <c r="N39" i="34"/>
  <c r="M39" i="34"/>
  <c r="N34" i="34"/>
  <c r="M34" i="34"/>
  <c r="O48" i="34"/>
  <c r="O46" i="34"/>
  <c r="O44" i="34"/>
  <c r="O42" i="34"/>
  <c r="O40" i="34"/>
  <c r="O37" i="34"/>
  <c r="O35" i="34"/>
  <c r="N9" i="34"/>
  <c r="M9" i="34"/>
  <c r="O32" i="34"/>
  <c r="O30" i="34"/>
  <c r="O26" i="34"/>
  <c r="O20" i="34"/>
  <c r="O14" i="34"/>
  <c r="O12" i="34"/>
  <c r="O10" i="34"/>
  <c r="M220" i="34"/>
  <c r="E370" i="34"/>
  <c r="E354" i="34"/>
  <c r="E350" i="34"/>
  <c r="E324" i="34"/>
  <c r="E316" i="34"/>
  <c r="E314" i="34"/>
  <c r="E312" i="34"/>
  <c r="E265" i="34"/>
  <c r="E263" i="34" s="1"/>
  <c r="E254" i="34" s="1"/>
  <c r="E238" i="34"/>
  <c r="E229" i="34"/>
  <c r="E227" i="34"/>
  <c r="E225" i="34"/>
  <c r="E223" i="34"/>
  <c r="E209" i="34"/>
  <c r="E208" i="34"/>
  <c r="E193" i="34"/>
  <c r="E191" i="34"/>
  <c r="E128" i="34"/>
  <c r="E126" i="34"/>
  <c r="E88" i="34"/>
  <c r="E84" i="34"/>
  <c r="E75" i="34"/>
  <c r="E73" i="34" s="1"/>
  <c r="E70" i="34"/>
  <c r="E64" i="34"/>
  <c r="E60" i="34"/>
  <c r="E55" i="34"/>
  <c r="E53" i="34"/>
  <c r="E27" i="34"/>
  <c r="E21" i="34"/>
  <c r="E476" i="34"/>
  <c r="E467" i="34"/>
  <c r="E465" i="34" s="1"/>
  <c r="E464" i="34"/>
  <c r="E462" i="34" s="1"/>
  <c r="E459" i="34"/>
  <c r="E457" i="34" s="1"/>
  <c r="E425" i="34"/>
  <c r="E423" i="34"/>
  <c r="E414" i="34"/>
  <c r="E412" i="34"/>
  <c r="E400" i="34"/>
  <c r="E398" i="34"/>
  <c r="E394" i="34"/>
  <c r="E337" i="34"/>
  <c r="E331" i="34" s="1"/>
  <c r="E330" i="34" s="1"/>
  <c r="E322" i="34"/>
  <c r="E304" i="34"/>
  <c r="E302" i="34"/>
  <c r="E86" i="34"/>
  <c r="E49" i="34"/>
  <c r="E39" i="34" s="1"/>
  <c r="E15" i="34"/>
  <c r="A2" i="34"/>
  <c r="E4" i="28"/>
  <c r="A2" i="28"/>
  <c r="E4" i="21"/>
  <c r="A2" i="21"/>
  <c r="E4" i="20"/>
  <c r="A2" i="20"/>
  <c r="E4" i="18"/>
  <c r="A2" i="18"/>
  <c r="E4" i="11"/>
  <c r="A2" i="11"/>
  <c r="C4" i="19"/>
  <c r="A2" i="19"/>
  <c r="B4" i="34"/>
  <c r="J11" i="19"/>
  <c r="N11" i="19" s="1"/>
  <c r="J10" i="19"/>
  <c r="N10" i="19" s="1"/>
  <c r="J9" i="19"/>
  <c r="N9" i="19" s="1"/>
  <c r="J8" i="19"/>
  <c r="N8" i="19" s="1"/>
  <c r="J7" i="19"/>
  <c r="N7" i="19" s="1"/>
  <c r="J6" i="19"/>
  <c r="N6" i="19" s="1"/>
  <c r="J32" i="19"/>
  <c r="N32" i="19" s="1"/>
  <c r="J31" i="19"/>
  <c r="N31" i="19" s="1"/>
  <c r="J30" i="19"/>
  <c r="N30" i="19" s="1"/>
  <c r="J29" i="19"/>
  <c r="N29" i="19" s="1"/>
  <c r="J28" i="19"/>
  <c r="N28" i="19" s="1"/>
  <c r="J27" i="19"/>
  <c r="N27" i="19" s="1"/>
  <c r="J26" i="19"/>
  <c r="N26" i="19" s="1"/>
  <c r="J25" i="19"/>
  <c r="N25" i="19" s="1"/>
  <c r="J24" i="19"/>
  <c r="N24" i="19" s="1"/>
  <c r="J23" i="19"/>
  <c r="N23" i="19" s="1"/>
  <c r="J22" i="19"/>
  <c r="N22" i="19" s="1"/>
  <c r="J21" i="19"/>
  <c r="N21" i="19" s="1"/>
  <c r="J20" i="19"/>
  <c r="N20" i="19" s="1"/>
  <c r="J19" i="19"/>
  <c r="N19" i="19" s="1"/>
  <c r="J18" i="19"/>
  <c r="N18" i="19" s="1"/>
  <c r="J17" i="19"/>
  <c r="N17" i="19" s="1"/>
  <c r="J16" i="19"/>
  <c r="N16" i="19" s="1"/>
  <c r="J15" i="19"/>
  <c r="N15" i="19" s="1"/>
  <c r="J14" i="19"/>
  <c r="N14" i="19" s="1"/>
  <c r="J13" i="19"/>
  <c r="N13" i="19" s="1"/>
  <c r="J12" i="19"/>
  <c r="N12" i="19" s="1"/>
  <c r="H6" i="19"/>
  <c r="I32" i="19"/>
  <c r="M32" i="19" s="1"/>
  <c r="I31" i="19"/>
  <c r="M31" i="19" s="1"/>
  <c r="I30" i="19"/>
  <c r="M30" i="19" s="1"/>
  <c r="I29" i="19"/>
  <c r="M29" i="19" s="1"/>
  <c r="I28" i="19"/>
  <c r="M28" i="19" s="1"/>
  <c r="I27" i="19"/>
  <c r="M27" i="19" s="1"/>
  <c r="I26" i="19"/>
  <c r="M26" i="19" s="1"/>
  <c r="I25" i="19"/>
  <c r="M25" i="19" s="1"/>
  <c r="I24" i="19"/>
  <c r="M24" i="19" s="1"/>
  <c r="I23" i="19"/>
  <c r="M23" i="19" s="1"/>
  <c r="I22" i="19"/>
  <c r="M22" i="19" s="1"/>
  <c r="I21" i="19"/>
  <c r="M21" i="19" s="1"/>
  <c r="I20" i="19"/>
  <c r="M20" i="19" s="1"/>
  <c r="I19" i="19"/>
  <c r="M19" i="19" s="1"/>
  <c r="I18" i="19"/>
  <c r="M18" i="19" s="1"/>
  <c r="I17" i="19"/>
  <c r="M17" i="19" s="1"/>
  <c r="I16" i="19"/>
  <c r="M16" i="19" s="1"/>
  <c r="I15" i="19"/>
  <c r="M15" i="19" s="1"/>
  <c r="I14" i="19"/>
  <c r="M14" i="19" s="1"/>
  <c r="I13" i="19"/>
  <c r="M13" i="19" s="1"/>
  <c r="I12" i="19"/>
  <c r="M12" i="19" s="1"/>
  <c r="I11" i="19"/>
  <c r="M11" i="19" s="1"/>
  <c r="I10" i="19"/>
  <c r="M10" i="19" s="1"/>
  <c r="I9" i="19"/>
  <c r="M9" i="19" s="1"/>
  <c r="I8" i="19"/>
  <c r="M8" i="19" s="1"/>
  <c r="I7" i="19"/>
  <c r="M7" i="19" s="1"/>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11"/>
  <c r="D11" i="11"/>
  <c r="F10" i="11"/>
  <c r="D12" i="18"/>
  <c r="D11" i="18"/>
  <c r="F10" i="18"/>
  <c r="D12" i="20"/>
  <c r="D11" i="20"/>
  <c r="F10" i="20"/>
  <c r="D12" i="21"/>
  <c r="D11" i="21"/>
  <c r="F10" i="21"/>
  <c r="D12" i="28"/>
  <c r="D11" i="28"/>
  <c r="F10" i="28"/>
  <c r="I6" i="19"/>
  <c r="M6" i="19" s="1"/>
  <c r="D29" i="33"/>
  <c r="D26" i="33"/>
  <c r="I24" i="21"/>
  <c r="D20" i="33"/>
  <c r="C20" i="19"/>
  <c r="L20" i="19" s="1"/>
  <c r="G15" i="33"/>
  <c r="J18" i="11"/>
  <c r="F44" i="20"/>
  <c r="F43" i="20"/>
  <c r="F42" i="20"/>
  <c r="F41" i="20"/>
  <c r="F40" i="20"/>
  <c r="F39" i="20"/>
  <c r="E43" i="20"/>
  <c r="E42" i="20"/>
  <c r="E41" i="20"/>
  <c r="E40" i="20"/>
  <c r="E39" i="20"/>
  <c r="E44" i="20"/>
  <c r="E20" i="20"/>
  <c r="D8" i="20" s="1"/>
  <c r="C23" i="19" s="1"/>
  <c r="L23" i="19" s="1"/>
  <c r="I18" i="20"/>
  <c r="E48" i="21"/>
  <c r="D48" i="21"/>
  <c r="E47" i="21"/>
  <c r="D47" i="21"/>
  <c r="E46" i="21"/>
  <c r="D46" i="21"/>
  <c r="E45" i="21"/>
  <c r="D45" i="21"/>
  <c r="E44" i="21"/>
  <c r="D44" i="21"/>
  <c r="E43" i="21"/>
  <c r="D43" i="21"/>
  <c r="E42" i="21"/>
  <c r="D42" i="21"/>
  <c r="F27" i="28"/>
  <c r="E27" i="28"/>
  <c r="E21" i="28"/>
  <c r="G21" i="28"/>
  <c r="F21" i="28"/>
  <c r="J42" i="21"/>
  <c r="H20" i="20"/>
  <c r="G20" i="20"/>
  <c r="F20" i="20"/>
  <c r="H22" i="18"/>
  <c r="G22" i="18"/>
  <c r="F22" i="18"/>
  <c r="E22" i="18"/>
  <c r="D8" i="18" s="1"/>
  <c r="C22" i="19" s="1"/>
  <c r="L22" i="19" s="1"/>
  <c r="I20" i="11"/>
  <c r="H20" i="11"/>
  <c r="G20" i="11"/>
  <c r="F20" i="11"/>
  <c r="D8" i="11" s="1"/>
  <c r="C15" i="19" s="1"/>
  <c r="L15" i="19" s="1"/>
  <c r="E20" i="11"/>
  <c r="C13" i="19"/>
  <c r="L13" i="19" s="1"/>
  <c r="C12" i="19"/>
  <c r="L12" i="19" s="1"/>
  <c r="C10" i="19"/>
  <c r="L10" i="19" s="1"/>
  <c r="C9" i="19"/>
  <c r="C8" i="19"/>
  <c r="L8" i="19" s="1"/>
  <c r="C7" i="19"/>
  <c r="L7" i="19" s="1"/>
  <c r="D24" i="33"/>
  <c r="D23" i="33"/>
  <c r="H35" i="21" s="1"/>
  <c r="D22" i="33"/>
  <c r="D45" i="20" s="1"/>
  <c r="D5" i="33"/>
  <c r="D31" i="33"/>
  <c r="C29" i="19"/>
  <c r="L29" i="19" s="1"/>
  <c r="K48" i="21"/>
  <c r="J48" i="21"/>
  <c r="K47" i="21"/>
  <c r="J47" i="21"/>
  <c r="K46" i="21"/>
  <c r="J46" i="21"/>
  <c r="K45" i="21"/>
  <c r="J45" i="21"/>
  <c r="K44" i="21"/>
  <c r="J44" i="21"/>
  <c r="K43" i="21"/>
  <c r="J43" i="21"/>
  <c r="K42" i="21"/>
  <c r="I30" i="21"/>
  <c r="I29" i="21"/>
  <c r="I28" i="21"/>
  <c r="I27" i="21"/>
  <c r="I26" i="21"/>
  <c r="I25" i="21"/>
  <c r="G33" i="20"/>
  <c r="J33" i="20"/>
  <c r="I33" i="20"/>
  <c r="H33" i="20"/>
  <c r="F24" i="33"/>
  <c r="E24" i="33"/>
  <c r="I18" i="21"/>
  <c r="I19" i="20"/>
  <c r="I21" i="18"/>
  <c r="I20" i="18"/>
  <c r="J19" i="11"/>
  <c r="J20" i="11" s="1"/>
  <c r="I20" i="20" l="1"/>
  <c r="E23" i="33"/>
  <c r="I35" i="21" s="1"/>
  <c r="D8" i="21" s="1"/>
  <c r="C24" i="19" s="1"/>
  <c r="L24" i="19" s="1"/>
  <c r="J53" i="21"/>
  <c r="C14" i="19"/>
  <c r="L14" i="19" s="1"/>
  <c r="F45" i="20"/>
  <c r="C25" i="19"/>
  <c r="L25" i="19" s="1"/>
  <c r="K53" i="21"/>
  <c r="C17" i="19"/>
  <c r="L17" i="19" s="1"/>
  <c r="O93" i="34"/>
  <c r="J480" i="34"/>
  <c r="E296" i="34"/>
  <c r="E392" i="34"/>
  <c r="E391" i="34" s="1"/>
  <c r="E288" i="34"/>
  <c r="E456" i="34"/>
  <c r="E472" i="34"/>
  <c r="E468" i="34" s="1"/>
  <c r="E9" i="34"/>
  <c r="E8" i="34" s="1"/>
  <c r="E410" i="34"/>
  <c r="E421" i="34"/>
  <c r="E51" i="34"/>
  <c r="E58" i="34"/>
  <c r="E80" i="34"/>
  <c r="E79" i="34" s="1"/>
  <c r="E124" i="34"/>
  <c r="E115" i="34" s="1"/>
  <c r="E91" i="34" s="1"/>
  <c r="E189" i="34"/>
  <c r="E166" i="34" s="1"/>
  <c r="E206" i="34"/>
  <c r="E194" i="34" s="1"/>
  <c r="E221" i="34"/>
  <c r="E220" i="34" s="1"/>
  <c r="E236" i="34"/>
  <c r="E230" i="34" s="1"/>
  <c r="E310" i="34"/>
  <c r="E309" i="34" s="1"/>
  <c r="E346" i="34"/>
  <c r="E345" i="34" s="1"/>
  <c r="E356" i="34"/>
  <c r="E355" i="34" s="1"/>
  <c r="M115" i="34"/>
  <c r="O410" i="34"/>
  <c r="O167" i="34"/>
  <c r="M426" i="34"/>
  <c r="O375" i="34"/>
  <c r="O51" i="34"/>
  <c r="O260" i="34"/>
  <c r="O130" i="34"/>
  <c r="O174" i="34"/>
  <c r="M269" i="34"/>
  <c r="N426" i="34"/>
  <c r="O288" i="34"/>
  <c r="O245" i="34"/>
  <c r="N374" i="34"/>
  <c r="M92" i="34"/>
  <c r="M230" i="34"/>
  <c r="N355" i="34"/>
  <c r="N468" i="34"/>
  <c r="M409" i="34"/>
  <c r="O331" i="34"/>
  <c r="M309" i="34"/>
  <c r="O465" i="34"/>
  <c r="N409" i="34"/>
  <c r="O270" i="34"/>
  <c r="O285" i="34"/>
  <c r="O263" i="34"/>
  <c r="O221" i="34"/>
  <c r="N129" i="34"/>
  <c r="O330" i="34"/>
  <c r="O472" i="34"/>
  <c r="O457" i="34"/>
  <c r="N50" i="34"/>
  <c r="O248" i="34"/>
  <c r="O442" i="34"/>
  <c r="O421" i="34"/>
  <c r="M456" i="34"/>
  <c r="O162" i="34"/>
  <c r="O73" i="34"/>
  <c r="N115" i="34"/>
  <c r="O206" i="34"/>
  <c r="O382" i="34"/>
  <c r="N456" i="34"/>
  <c r="O436" i="34"/>
  <c r="E20" i="33"/>
  <c r="C21" i="19" s="1"/>
  <c r="L21" i="19" s="1"/>
  <c r="I22" i="18"/>
  <c r="C32" i="19"/>
  <c r="L32" i="19" s="1"/>
  <c r="I15" i="33"/>
  <c r="E30" i="28"/>
  <c r="D8" i="28" s="1"/>
  <c r="C31" i="19" s="1"/>
  <c r="L31" i="19" s="1"/>
  <c r="E45" i="20"/>
  <c r="M374" i="34"/>
  <c r="O356" i="34"/>
  <c r="O462" i="34"/>
  <c r="O401" i="34"/>
  <c r="N92" i="34"/>
  <c r="N309" i="34"/>
  <c r="C11" i="19"/>
  <c r="L11" i="19" s="1"/>
  <c r="L9" i="19"/>
  <c r="C16" i="19"/>
  <c r="L16" i="19" s="1"/>
  <c r="C18" i="19"/>
  <c r="L18" i="19" s="1"/>
  <c r="O220" i="34"/>
  <c r="M8" i="34"/>
  <c r="O39" i="34"/>
  <c r="O217" i="34"/>
  <c r="O443" i="34"/>
  <c r="M129" i="34"/>
  <c r="N194" i="34"/>
  <c r="N230" i="34"/>
  <c r="M244" i="34"/>
  <c r="M254" i="34"/>
  <c r="M194" i="34"/>
  <c r="N244" i="34"/>
  <c r="M355" i="34"/>
  <c r="O58" i="34"/>
  <c r="O200" i="34"/>
  <c r="N254" i="34"/>
  <c r="N269" i="34"/>
  <c r="N8" i="34"/>
  <c r="O9" i="34"/>
  <c r="O184" i="34"/>
  <c r="O296" i="34"/>
  <c r="O391" i="34"/>
  <c r="M468" i="34"/>
  <c r="O427" i="34"/>
  <c r="O124" i="34"/>
  <c r="O189" i="34"/>
  <c r="M166" i="34"/>
  <c r="O104" i="34"/>
  <c r="O79" i="34"/>
  <c r="C28" i="19"/>
  <c r="L28" i="19" s="1"/>
  <c r="C27" i="19"/>
  <c r="L27" i="19" s="1"/>
  <c r="C19" i="19"/>
  <c r="L19" i="19" s="1"/>
  <c r="C26" i="19"/>
  <c r="L26" i="19" s="1"/>
  <c r="O345" i="34"/>
  <c r="F15" i="33"/>
  <c r="O34" i="34"/>
  <c r="O195" i="34"/>
  <c r="O236" i="34"/>
  <c r="E15" i="33"/>
  <c r="N166" i="34"/>
  <c r="O402" i="34"/>
  <c r="O371" i="34"/>
  <c r="D15" i="33"/>
  <c r="M50" i="34"/>
  <c r="O346" i="34"/>
  <c r="O310" i="34"/>
  <c r="O255" i="34"/>
  <c r="O392" i="34"/>
  <c r="O80" i="34"/>
  <c r="E269" i="34" l="1"/>
  <c r="E239" i="34" s="1"/>
  <c r="E165" i="34"/>
  <c r="O230" i="34"/>
  <c r="E50" i="34"/>
  <c r="E7" i="34" s="1"/>
  <c r="E409" i="34"/>
  <c r="E344" i="34" s="1"/>
  <c r="O115" i="34"/>
  <c r="O309" i="34"/>
  <c r="O374" i="34"/>
  <c r="O269" i="34"/>
  <c r="M91" i="34"/>
  <c r="O426" i="34"/>
  <c r="O92" i="34"/>
  <c r="O355" i="34"/>
  <c r="N7" i="34"/>
  <c r="N239" i="34"/>
  <c r="N344" i="34"/>
  <c r="O409" i="34"/>
  <c r="O456" i="34"/>
  <c r="O254" i="34"/>
  <c r="M7" i="34"/>
  <c r="N91" i="34"/>
  <c r="O129" i="34"/>
  <c r="O8" i="34"/>
  <c r="M344" i="34"/>
  <c r="M165" i="34"/>
  <c r="O244" i="34"/>
  <c r="E29" i="33"/>
  <c r="C30" i="19" s="1"/>
  <c r="L30" i="19" s="1"/>
  <c r="M239" i="34"/>
  <c r="O468" i="34"/>
  <c r="O194" i="34"/>
  <c r="H5" i="33"/>
  <c r="F5" i="33"/>
  <c r="E5" i="33"/>
  <c r="G5" i="33"/>
  <c r="O50" i="34"/>
  <c r="N165" i="34"/>
  <c r="O166" i="34"/>
  <c r="N480" i="34" l="1"/>
  <c r="M480" i="34"/>
  <c r="E480" i="34"/>
  <c r="O7" i="34"/>
  <c r="O91" i="34"/>
  <c r="O165" i="34"/>
  <c r="O239" i="34"/>
  <c r="O344" i="34"/>
  <c r="O480" i="34" l="1"/>
  <c r="I100" i="1" l="1"/>
  <c r="G100" i="1"/>
  <c r="D8" i="1" s="1"/>
  <c r="C6" i="19" s="1"/>
  <c r="L6" i="19" s="1"/>
  <c r="H100" i="1"/>
  <c r="J1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A10" authorId="0" shapeId="0" xr:uid="{00000000-0006-0000-0100-000001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94" authorId="0" shapeId="0" xr:uid="{00000000-0006-0000-0100-000002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96" authorId="0" shapeId="0" xr:uid="{00000000-0006-0000-0100-000003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98" authorId="0" shapeId="0" xr:uid="{00000000-0006-0000-0100-000004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100" authorId="0" shapeId="0" xr:uid="{00000000-0006-0000-0100-000005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102" authorId="0" shapeId="0" xr:uid="{00000000-0006-0000-0100-00000600000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List>
</comments>
</file>

<file path=xl/sharedStrings.xml><?xml version="1.0" encoding="utf-8"?>
<sst xmlns="http://schemas.openxmlformats.org/spreadsheetml/2006/main" count="8375" uniqueCount="2862">
  <si>
    <t>ANEXOS INFORME DE SEGUIMIENTO AL PLAN DE ACCIÓN 2020-2023</t>
  </si>
  <si>
    <t>Nombre de la Corporación</t>
  </si>
  <si>
    <t>Corporación Autónoma Regional del Atlántico – CRA</t>
  </si>
  <si>
    <t>Corporación Autónoma Regional del Alto Magdalena - CAM</t>
  </si>
  <si>
    <t>Periodo a reportar</t>
  </si>
  <si>
    <t>2020-II</t>
  </si>
  <si>
    <t>Corporación Autónoma Regional de Cundinamarca – CAR</t>
  </si>
  <si>
    <t>Nombre de la persona responsable del reporte</t>
  </si>
  <si>
    <t>Germán Escaf Payares - Jerman Bohorquez camargo</t>
  </si>
  <si>
    <t>Corporación Autónoma Regional del Canal del Dique – CARDIQUE</t>
  </si>
  <si>
    <t>Dependencia</t>
  </si>
  <si>
    <t>Subdirección de Planeación - Subdirección Financiera</t>
  </si>
  <si>
    <t>Corporación Autónoma Regional de Sucre – CARSUCRE</t>
  </si>
  <si>
    <t>Cargo</t>
  </si>
  <si>
    <t>Subdirector de Planeación - Subdirector Financiero (e)</t>
  </si>
  <si>
    <t>Corporación Autónoma Regional de Santander – CAS</t>
  </si>
  <si>
    <t>Correo electrónico</t>
  </si>
  <si>
    <t>gescaf@crautonoma.gov.co -  jbohorquez@crautonoma.gov.co</t>
  </si>
  <si>
    <t>Corporación para el Desarrollo Sostenible del Norte y el Oriente Amazónico – CDA</t>
  </si>
  <si>
    <t>Teléfono</t>
  </si>
  <si>
    <t>(57-5) 3492482 - 3492686</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</si>
  <si>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</si>
  <si>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</si>
  <si>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</si>
  <si>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</si>
  <si>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</si>
  <si>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</si>
  <si>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</si>
  <si>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</si>
  <si>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</si>
  <si>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</si>
  <si>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</si>
  <si>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</si>
  <si>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</si>
  <si>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</si>
  <si>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</si>
  <si>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</si>
  <si>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</si>
  <si>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</si>
  <si>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</si>
  <si>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</si>
  <si>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</si>
  <si>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</si>
  <si>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</si>
  <si>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</si>
  <si>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</si>
  <si>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</si>
  <si>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</si>
  <si>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</si>
  <si>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</si>
  <si>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</si>
  <si>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</si>
  <si>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</si>
  <si>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</si>
  <si>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 xml:space="preserve">MATRIZ DE SEGUIMIENTO DEL PLAN DE ACCIÓN
ANEXO No. 1. AVANCE EN LAS METAS FÍSICAS Y FINANCIERAS DEL PLAN DE ACCIÓN  </t>
  </si>
  <si>
    <t>PERIODO REPORTADO:</t>
  </si>
  <si>
    <r>
      <t xml:space="preserve">(1)
PROGRAMAS - PROYECTOS  DEL PLAN DE ACCIÓN 2020-2023 
(inserte filas cuando sea necesario)
</t>
    </r>
    <r>
      <rPr>
        <b/>
        <sz val="10"/>
        <color indexed="10"/>
        <rFont val="Arial Narrow"/>
        <family val="2"/>
      </rPr>
      <t/>
    </r>
  </si>
  <si>
    <t>COMPORTAMIENTO META FISICA 
PLAN DE ACCION</t>
  </si>
  <si>
    <t>META FINANCIERA                                                                                                  PLAN DE ACCION</t>
  </si>
  <si>
    <t>(17)
OBSERVACIONES</t>
  </si>
  <si>
    <t>(27)
PROGRAMA DE INVERSIÓN PUBLICA A LA QUE APORTA</t>
  </si>
  <si>
    <t>(28)
IMG AL QUE  APORTA</t>
  </si>
  <si>
    <t>(29)
ODS AL QUE LE APORTA</t>
  </si>
  <si>
    <t xml:space="preserve">   (2)                                      UNIDAD DE MEDIDA</t>
  </si>
  <si>
    <t>(3)                                      META FISICA ANUAL             (Según unidad de medida)</t>
  </si>
  <si>
    <t>(4)
AVANCE DE LA META
FISICA  (Según unidad de medida y Periodo Evaluado)</t>
  </si>
  <si>
    <t xml:space="preserve">(5)
PORCENTAJE DE AVANCE 
FISICO %
(Periodo Evaluado)
((4/3)*100)
</t>
  </si>
  <si>
    <t>(5-A) DESCRIPCIÓN DEL AVANCE 
(Se puede describir en texto lo que se desea aclarar del avance númerico respectivo)</t>
  </si>
  <si>
    <t>(6)
PORCENTAJE DE AVANCE PROCESO DE GESTION DE LA META
FISICA
(aplica unicamente para el informe del primer semestre)</t>
  </si>
  <si>
    <t xml:space="preserve"> (7)                                                    META FISICA DEL PLAN             (Según unidad de medida)</t>
  </si>
  <si>
    <t>(8)
ACUMULADO DE LA META
FISICA
(Según unidad de medida)</t>
  </si>
  <si>
    <t xml:space="preserve">(9)
PORCENTAJE DE AVANCE 
FISICO ACUMULADO %
((8/7)*100)
</t>
  </si>
  <si>
    <t>(10)               PONDERACIONES DE PROGRAMAS  Y PROYECTOS  VIGENCIA 2020</t>
  </si>
  <si>
    <t>(10-a)               PONDERACIONES DE PROGRAMAS  Y PROYECTOS (OPCIONAL DE ACUERDO AL PLAN DE ACCIÓN)</t>
  </si>
  <si>
    <t>(11)                          META FINANCIERA ANUAL             ($)</t>
  </si>
  <si>
    <t xml:space="preserve">(12)
AVANCE DE LA META
FINANCIERA
(Recursos comprometidos periodo Evaluado)
($)
</t>
  </si>
  <si>
    <t>(13)                           PORCENTAJE DEL AVANCE 
FINANCIERO %
(Periodo Evaluado)
((12/11)*100)</t>
  </si>
  <si>
    <t>(14)                                         META FINANCIERA   DEL PLAN             ($)</t>
  </si>
  <si>
    <t xml:space="preserve">(15)
ACUMULADO DE LA META
FINANCIERA
$
</t>
  </si>
  <si>
    <t xml:space="preserve">(16)
PORCENTAJE DE  AVANCE FINANCIERO ACUMULADO %
((15/14)*100)
</t>
  </si>
  <si>
    <t>LÍNEA ESTRATÉGICA No. 1. SOSTENIBILIDAD DEL RECURSO HÍDRICO</t>
  </si>
  <si>
    <t>PROGRAMA No 1.1. PLANIFICACIÓN, ADMINISTRACIÓN Y GESTIÓN DEL RECURSO HÍDRICO PARA LA PROTECCIÓN DE LOS ECOSISTEMAS</t>
  </si>
  <si>
    <t>PROYECTO No 1.1.1. REGULACIÓN Y REGLAMENTACIÓN DEL RECURSO HÍDRICO</t>
  </si>
  <si>
    <t xml:space="preserve">ACCIÓN ESTRATEGICA No 1.1.1.1. Iniciar el proceso de formulación del Plan de Ordenación y Manejo de Cuencas Hidrográfica de la cuenca de Mar Caribe. </t>
  </si>
  <si>
    <t>Número de documentos que consolide las acciones realizadas en marco de la ordenación de la cuenca del Mar Caribe</t>
  </si>
  <si>
    <t>No. Documentos</t>
  </si>
  <si>
    <t xml:space="preserve">Durante la vigencia 2020 se realizó la recopilación de la información, encontrándose en la Fase de los Procesos Formales Previos del Plan de Ordenación y Manejo de Cuencas Hidrográfica de la Cuenca de Mar Caribe,  se logró recopilar la información existente en la Corporación. </t>
  </si>
  <si>
    <t>ACCIÓN ESTRATEGICA No 1.1.1.2. Adoptar los Planes de Ordenación y Manejo de: Cuencas Hidrográficas del Canal del Dique, Cuenca del complejo de humedades del Rio Magdalena y Cuenca de los Arroyos directos al Mar Caribe.</t>
  </si>
  <si>
    <t>Número  de POMCAS Adoptados bajo el Marco Normativo del 1076 del 2015</t>
  </si>
  <si>
    <t>Hemos realizado actividades de socialización de los resultados del Plan de Ordenación y Manejo de la Cuenca Hidrográfica “COMPLEJO DE HUMEDALES DE LA VERTIENTE OCCIDENTAL DEL RÍO MAGDALENA EN EL DEPARTAMENTO DEL ATLÁNTICO”, el cual se viene ajustando mediante el Contrato No. 00386 de 2016.</t>
  </si>
  <si>
    <t>ACCIÓN ESTRATEGICA No 1.1.1.3. Implementar el Plan de Ordenación y Manejo de Cuencas Hidrográficas de la Ciénaga de Mallorquín y los Arroyos Grande y León.</t>
  </si>
  <si>
    <t>% de avance en la implementación del POMCA Mallorquín Adoptado bajo el marco Normativo del 1076 del 2015</t>
  </si>
  <si>
    <t xml:space="preserve">Porcentaje (%) </t>
  </si>
  <si>
    <t>Se logró con la implementación del Programa No1. ADMINISTRACION Y GESTION DEL RECURSO HIDRICO, subprograma PLAN MAESTRO DE DRENAJES PLUVIALES, del Plan de Ordenación y manejo de la Cuenca hidrográfica de la ciénaga de Mallorquín.</t>
  </si>
  <si>
    <t>ACCIÓN ESTRATEGICA No 1.1.1.4. Implementar el Plan de Ordenación y Manejo de Cuencas Hidrográficas del Complejo de Humedades del Río Magdalena.</t>
  </si>
  <si>
    <t>% de avance en la implementación del POMCA Rio Magdalena Adoptado bajo el marco Normativo del 1076 del 2015</t>
  </si>
  <si>
    <t>ACCIÓN ESTRATEGICA No 1.1.1.5. Implementar el Plan de Ordenación y Manejo de Cuencas Hidrográficas del Canal del Dique.</t>
  </si>
  <si>
    <t>% de avance de la meta anual de implementación del POMCA Canal del Dique Adoptado bajo el marco Normativo del 1076 del 2015</t>
  </si>
  <si>
    <t>ACCIÓN ESTRATEGICA No 1.1.1.6. Formular el Plan de Manejo de la Ciénaga de Mallorquín (delimitación y zonificación del humedal a escala 1:25.000), el cual hace parte de sitio RAMSAR Sistema Delta Estuario Ciénaga Grande de Santa Marta.</t>
  </si>
  <si>
    <t>Número de documentos con el Plan de Manejo de humedales formulado.</t>
  </si>
  <si>
    <t>Representado en la celebración del Contrato N°375 de 2020 cuyo objeto contractual es: “ELABORAR EL PLAN DE MANEJO DE LA CIÉNAGA DE MALLORQUIN Y LA ACTUALIZACIÓN DE LOS ESTUDIOS PARA EL MANEJO INTEGRADO DE LOS MANGLARES DEL DEPARTAMENTO DEL ATLÁNTICO EN CUMPLIM,IENTO DE LO ESTABLECIDO EN EL PLAN DE ACCIÓN INSTITUCIONAL 2020-2023”el cual se encuentra en ejecución</t>
  </si>
  <si>
    <t>ACCIÓN ESTRATEGICA No 1.1.1.7. Formular el Plan de Manejo de Acuífero de Sabanalarga - Tubará de acuerdo a la priorización definida en los criterios del Decreto 1640 de 2012.</t>
  </si>
  <si>
    <t>Número de Planes de Manejo de Acuífero.</t>
  </si>
  <si>
    <t>No. De Planes</t>
  </si>
  <si>
    <t>ACCIÓN ESTRATEGICA No 1.1.1.8. Actualizar el índice del Uso de Agua para el Departamento del Atlántico, ya que éste fue construido en el año 2013.</t>
  </si>
  <si>
    <t>Número de Documentos técnicos que contenga la actualización del índice de uso de agua</t>
  </si>
  <si>
    <t xml:space="preserve">ACCIÓN ESTRATEGICA No 1.1.1.9. Elaborar una Resolución de Priorización de los cuerpos de agua que requieren ser acotados en el departamento. </t>
  </si>
  <si>
    <t>Número de Documentos técnicos que contenga la priorización de cuerpos de agua que van hacer acotada su ronda</t>
  </si>
  <si>
    <t>Se elaboró el documento técnico que contiene la recopilación de la información técnica relacionada con la valoración y validación de todos y cada uno de los criterios de priorización para el acotamiento de la ronda hídrica de los diferentes cuerpos de agua en la jurisdicción del departamento del Atlántico</t>
  </si>
  <si>
    <t>ACCIÓN ESTRATEGICA No 1.1.1.10. Realizar estudios de Rondas Hídricas de los cuerpos de agua priorizados en el departamento (Malambo y Bahía).</t>
  </si>
  <si>
    <t>Número de documentos técnicos  con los acotamiento de ronda hídrica definidas.</t>
  </si>
  <si>
    <t>ACCIÓN ESTRATEGICA No 1.1.1.11. Elaborar Planes de Ordenamiento del Recurso Hídrico en las Ciénagas Priorizadas del Departamento (Sabanagrande, Santo Tomas, Palmar de Varela, Canal del Dique y Malambo).</t>
  </si>
  <si>
    <t>Número de Documentos técnicos que contenga Planes de ordenamiento del recurso hídrico formulados</t>
  </si>
  <si>
    <t xml:space="preserve">Se elaboraron los documentos técnicos de los planes de ordenamiento del recurso Hídrico de las ciénagas de Sabanagrande, Santo Tomás y Palmar de Varela
</t>
  </si>
  <si>
    <t>ACCIÓN ESTRATEGICA No 1.1.1.12. Implementar los Planes de Ordenamiento del Recurso Hídrico que se encuentra elaborados en el departamento (Embalse del Guájaro, la ciénaga de  Luruaco y la ciénaga de Mallorquín).</t>
  </si>
  <si>
    <t>Número de Planes de ordenamiento del recurso Hídrico Implementados</t>
  </si>
  <si>
    <t>Implementación del Plan de Ordenamiento del Recurso Hídrico en el Embalse El Guájaro,</t>
  </si>
  <si>
    <t>PROYECTO No 1.1.2. FORTALECIMIENTO DE LA GESTIÓN INSTITUCIONAL Y SOCIAL PARA LA PLANIFICACIÓN, ADMINISTRACIÓN Y  GESTIÓN DEL RECURSO HÍDRICO</t>
  </si>
  <si>
    <t>ACCIÓN ESTRATEGICA No 1.1.2.1. Conformar un Equipo de Trabajo fortalecido con herramientas e insumos necesarios para llevar a cabo la Planificación, Administración y Gestión del recurso hídrico.</t>
  </si>
  <si>
    <t>Número de equipo Conformado anualmente</t>
  </si>
  <si>
    <t>No. De Equipos</t>
  </si>
  <si>
    <t>Se conformo un equipo de profesionales con los siguientes perfiles: (1) Ingeniero Ambiental y Sanitario, (1) Ingeniera Civil con Especialización en Saneamiento Básico, (1) Bióloga con Magister en Recurso Naturales, (1) Geógrafo con Magister en Ciencias Ambientales y (1) Ingeniero Industrial con Maestría en Finanzas, entre otros.</t>
  </si>
  <si>
    <t>ACCIÓN ESTRATEGICA No 1.1.2.2. Implementar los cuatro Consejos de Cuenca (Mallorquin, Canal del Dique, Rio Magdalena y Caribe) como mecanismo de participación efectiva de los usuarios en la Planeación, Administración, Vigilancia y Monitoreo del recurso Hídrico.</t>
  </si>
  <si>
    <t>Número  de Consejos de Cuenca conformados y en actividad</t>
  </si>
  <si>
    <t>No. De Consejo</t>
  </si>
  <si>
    <t xml:space="preserve">Los Consejos de Cuenca conformados se relacionan a continuación:
• Ciénaga de Mallorquín y los arroyos Grande y León.
• Complejo de humedales de la vertiente occidental del río Magdalena en el Departamento del Atlántico.
• Canal del Dique.
</t>
  </si>
  <si>
    <t>PROYECTO No 1.1.3. RECUPERACIÓN Y MANEJO DE LOS HUMEDALES DEL DEPARTAMENTO DEL ATLÁNTICO</t>
  </si>
  <si>
    <t xml:space="preserve">ACCIÓN ESTRATEGICA No 1.1.3.1. Realizar el mantenimiento a las compuertas de Villa Rosa y el Porvenir que regulan el Embalse del Guájaro. </t>
  </si>
  <si>
    <t>Número de mantenimiento anual a las compuertas Villa Rosa y el Porvenir</t>
  </si>
  <si>
    <t>No. Mantenimiento</t>
  </si>
  <si>
    <t>Celebración del Contrato N°377 del 31 de diciembre de 2020, cuyo objeto contractual es: “OBRAS DE MANTENIMIENTO DE LAS ESTRUCTURAS DE REGULACIÓN HIDRICA EL PORVENIR Y VILLAROSA, DEL EMBALSE EL GUAJARO, DEPARTAMENTO DEL ATLANTICO”el cual se encuentra en ejecución.</t>
  </si>
  <si>
    <t>ACCIÓN ESTRATEGICA No 1.1.3.2.  Realizar intervenciones para la Recuperación Ambiental de los Humedales asociados a la Cuenca del Canal del Dique (Hidrodinámica del Embalse El Guajaro y los afluentes del ecosistema).</t>
  </si>
  <si>
    <t>Número de intervenciones para la Recuperación ambiental de los humedales asociados a la Cuenca del Canal del Dique</t>
  </si>
  <si>
    <t>No. De Intervenciones</t>
  </si>
  <si>
    <t>1. Se materializó la suscripción del Adicional No. 3 del 27 de febrero de 2020 al Contrato de Obra No. 00000541 de 2018, a través del cual Se ejecutó la intervención en el Embalse del Guajaro, mediante el dragado de 25.514,85 m3 de sedimentos adicionales a los ejecutados en años anteriores. El dragado se realizó en la Zona 5 del embalse del Guajaro. 2. Se celebró el contrato N°371 de 2020, cuyo objeto contractual es: “EJECUTAR EL DRAGADO DE MANTENIMIENTO Y DISPOSICIÓN DE SEDIMENTOS DEL EMBALSE EL GUÁJARO PARA LA SOSTENIBILIDAD Y RECUPERACIÓN DE LA HIDRODINÁMICA DEL ECOSISTEMA ESTRATÉGICO EN JURISDICCIÓN DEL MUNICIPIO DE REPELÓN EN EL DEPARTAMENTO DEL ATLÁNTICO”</t>
  </si>
  <si>
    <t>ACCIÓN ESTRATEGICA No 1.1.3.3.  Realizar intervenciones en los Humedales asociados a la vertiente occidental del Rio Magdalena. (Ciénagas de Malambo, Sabanagrande, Santo Tomás y Palmar de Varela).</t>
  </si>
  <si>
    <t>Número de intervenciones para la Recuperación ambiental de los humedales asociados a la vertiente occidental del Rio Magdalena</t>
  </si>
  <si>
    <t>Se celebró el Contrato N°368 de 2020 con el objeto de: “REALIZAR LA LIMPIEZA DE VEGETACIÓN ACUÁTICA EN LAS ÁREAS DE LAS ESTRUCTURAS HIDRÁULICA CONSTRUIDA EN EL MARCO DEL PROYECTO DE REGULACIÓN HÍDRICA DE LAS CIÉNAGAS DE SABANAGRANDE SANTO TOMAS Y PALMAR DE VARELA- DEPARTAMENTO DEL ATLÁNTICO”el cual se encuentra en ejecución.</t>
  </si>
  <si>
    <t xml:space="preserve">ACCIÓN ESTRATEGICA No 1.1.3.4.  Realizar intervenciones para la Recuperación ambiental de la Cuenca de la Ciénaga de Mallorquín (Cienaga de Mallorquin y Cienaga Rincon o Lago El Cisne). </t>
  </si>
  <si>
    <t>Número de intervenciones  para la Recuperación ambiental de la cuenca de  Mallorquín</t>
  </si>
  <si>
    <t>Las actividades ejecutadas durante este año corresponden a las realizadas mediante el Adicional No. 1 del 11 de febrero de 2020 al Contrato No. 00000428 de 2019, las cuales permitieron garantizar que el Lago El Cisne mantuviera una cota mínima de 3,28 m en las zonas más profundas y en las zonas menos profundas una cota mínima de 2,40 m, lo que garantizó la preservación del ecosistema hasta el segundo semestre de la anualidad.</t>
  </si>
  <si>
    <t>ACCIÓN ESTRATEGICA No 1.1.3.5.  Realizar repoblamientos anuales como estrategia de implementación de recuperación de poblaciones naturales de especies nativas asociadas al recurso hidrobiológico en los humedales del departamento.</t>
  </si>
  <si>
    <t>Número de Repoblamientos anuales para la recupoeración de especies nativas asociadas al recurso hídrico en los humedales</t>
  </si>
  <si>
    <t>No. De Repoblaciones</t>
  </si>
  <si>
    <t>A Diciembre 31 de 2020, a través del programa Plan Pescao, se cumplió la meta establecida de realizar un (1) repoblamiento anual para la recuperación de especies nativas asociadas al recurso hídrico en los humedales.</t>
  </si>
  <si>
    <t>PROGRAMA No 1.2. CARACTERIZACIÓN, CUANTIFICACIÓN Y RECUPERACIÓN DEL RECURSO AGUA COMO ARTICULADOR DE LOS BIENES Y SERVICIOS AMBIENTALES</t>
  </si>
  <si>
    <t>PROYECTO No 1.2.1. USO EFICIENTE Y SOSTENIBLE DEL AGUA</t>
  </si>
  <si>
    <t>ACCIÓN ESTRATEGICA No 1.2.1.1. Incrementar el número de usuarios del recurso hídrico con Planes de Ahorro y Uso eficiente del Agua.</t>
  </si>
  <si>
    <t>% de usuarios del recurso Hídrico con planes de ahorro y uso eficiente del agua.</t>
  </si>
  <si>
    <t>Conforme a las labores de revisión documental, saneamiento a expedientes, seguimiento  a las concesiones de agua,  y en cumplimiento a lo establecido en el Decreto 1090  de 2018, el cual adicionó una subsección relacionada con el Programa para el Uso Eficiente y Ahorro de Agua, estableciendo que la solicitud, modificación y/o renovación de la concesión de agua deberá presentar ante la autoridad ambiental competente el PUEAA, elaborado bajo la estructura y contenido señalados por dicho Ministerio a través de la Resolución 1257 de 2018. En la vigencia 2020 se  realizó el registro de 25 usuarios con  PUEAA´s aprobados del total de 152 concesiones vigentes en los archivos de la entidad.</t>
  </si>
  <si>
    <t xml:space="preserve">ACCIÓN ESTRATEGICA No 1.2.1.2. Realizar seguimiento a la implementación de los Programas de Ahorro y uso eficiente del agua de los usuarios del Recurso Hídrico. </t>
  </si>
  <si>
    <t>% de usuarios del recurso Hídrico con seguimiento anual</t>
  </si>
  <si>
    <t>Para la vigencia 2020 se iniciaron las labores de depuración, saneamiento y seguimiento con meta del 75% del total de concesiones priorizadas para el periodo, este porcentaje se incrementará al 100% para los siguientes periodos del cuatrienio.
Se priorizaron un total de 39 concesiones de las cuales se hizo seguimiento a 34 de éstas, logrando un avance del 87% en la meta programada.</t>
  </si>
  <si>
    <t>ACCIÓN ESTRATEGICA No 1.2.1.3. Elaborar e Implementar Proyectos para las zonas priorizadas como zonas abastecedora de recurso Hídrico.</t>
  </si>
  <si>
    <t xml:space="preserve"> </t>
  </si>
  <si>
    <t>Número de proyectos elaborados e implementados para las zonas priorizadas como zonas abastecedora de recurso Hídrico.</t>
  </si>
  <si>
    <t>No. De Proyectos</t>
  </si>
  <si>
    <t>PROYECTO No 1.2.2. CONTROL Y PREVENCION DE LA CONTAMINACIÓN DEL RECURSO HÍDRICO</t>
  </si>
  <si>
    <t xml:space="preserve">ACCIÓN ESTRATEGICA No 1.2.2.1. Realizar inventario y registro de usuario (Legales y por legalizar) del recurso Hídrico, en relación con las aguas superficiales y subterráneas. </t>
  </si>
  <si>
    <t>% de usuarios reportados en el SIRH, producto del inventario de usuarios registrados en la CRA</t>
  </si>
  <si>
    <t xml:space="preserve">Durante la vigencia, la Corporación cuenta con 32 permisos entre otorgados, renovados y modificados • Reportables 28 permisos
• No Reportables 4
</t>
  </si>
  <si>
    <t>ACCIÓN ESTRATEGICA No 1.2.2.2. Monitorear la Calidad del Recurso Hídrico de las Aguas Continentales</t>
  </si>
  <si>
    <t>Monitoreo anual de la calidad fisicoquímica, microbiológica e hidrobiológica  a las aguas Continentales del departamento</t>
  </si>
  <si>
    <t>No. De Monitoreo</t>
  </si>
  <si>
    <t>La Corporación realizó en el año 2020 el monitoreo fisicoquímico, microbiológico e hidrobiológico sobre la calidad y estado actual de las fuentes hídricas del departamento del Atlántico y la actualización del índice de calidad de las ciénagas Mallorquín, Rincón y Balboa</t>
  </si>
  <si>
    <t>ACCIÓN ESTRATEGICA No 1.2.2.3. Monitorear la Calidad del Recurso Hídrico de las aguas Marinas (18 puntos establecidos en la REDCAM).</t>
  </si>
  <si>
    <t>Monitoreo anual de la calidad fisicoquímica, microbiológica a las aguas Marinas.</t>
  </si>
  <si>
    <t>Actualmente la entidad se encuentra evaluando la posibilidad de realizar un Convenio con el INVEMAR a fin de desarrollar las actividades requeridas para el cumplimiento de la meta</t>
  </si>
  <si>
    <t>ACCIÓN ESTRATEGICA No 1.2.2.4. Realizar reglamentación de los aportes puntuales de carga contaminante en los cuerpos de agua receptores de vertimientos en el Departamento del Atlántico</t>
  </si>
  <si>
    <t>Documento con el estado de los cuerpos de agua/objetivos de calidad hídrica en el departamento</t>
  </si>
  <si>
    <t>No. De Documneto</t>
  </si>
  <si>
    <t>ACCIÓN ESTRATEGICA No 1.2.2.5. Realizar seguimiento de las metas de Carga Contaminantes para el periodo 2020-2023.</t>
  </si>
  <si>
    <t>Seguimiento anual a las metas de carga contaminantes</t>
  </si>
  <si>
    <t>No. De Seguimientos</t>
  </si>
  <si>
    <t>ACCIÓN ESTRATEGICA No 1.2.2.6. Realizar inventario de los corregimientos que carecen de Saneamiento Básico en todo el departamento.</t>
  </si>
  <si>
    <t>Inventario georreferenciado de corregimientos que carecen de saneamiento básico en el departamento</t>
  </si>
  <si>
    <t>No. De Inventarios</t>
  </si>
  <si>
    <t>Se celebró la contratación para “REALIZAR EL INVENTARIO DE LOS SISTEMAS AGUA POTABLE Y SANEAMIENTO BASICO DE LOS CORREGIMIENTOS DEL DEPARTAMENTO DEL ATLANTICO EN EL MARCO DE PROYECTO DE CONTROL Y PREVENCION DE LA CONTAMINACION DEL RECURSO HIDRICO”, a través del Contrato N°379 de 2020 el cual se encuentra en ejecución.</t>
  </si>
  <si>
    <t>ACCIÓN ESTRATEGICA No 1.2.2.7. Realizar seguimiento a los vertimientos de los corregimientos del departamento del Atlántico.</t>
  </si>
  <si>
    <t>Informe Técnico anual de seguimiento a los corregimientos que carecen de saneamiento básico.</t>
  </si>
  <si>
    <t>No. De Informes</t>
  </si>
  <si>
    <t>PROYECTO No 1.2.3. REDUCCIÓN DE LA CONTAMINACIÓN DEL RECURSO HÍDRICO</t>
  </si>
  <si>
    <t>ACCIÓN ESTRATEGICA No 1.2.3.1. Realizar control, seguimiento y evaluación de los vertimientos, que permita conocer el estado de los cuerpos de agua receptores.</t>
  </si>
  <si>
    <t>Informe anual de Seguimiento a las obras de saneamiento ambiental (Planta de tratamiento de aguas residuales-PTARS) para verificar el cumplimiento de las actividades priorizadas en los PSMV.</t>
  </si>
  <si>
    <t>Para la vigencia 2020 la meta tuvo un cumplimiento del 100%. La Corporación Autónoma Regional del Atlántico durante ésta llevó a cabo visitas de seguimiento ambiental a los PSMV de los 23 municipios del departamento, en cumplimiento con lo dispuesto en la Resolución 1433 de 2004,  por medio del cual se fijan los lineamientos para la revisión y seguimiento de los Planes de Saneamiento y Manejo de Vertimientos líquidos por parte de los operadores del servicio de alcantarillado de los municipios. 
Para el caso de los municipios de Piojó, Santo Tomás, Sabanagrande y Palmar de Varela, la Corporación Autónoma Regional del Atlantico viene ejecutando dos importantes obras de saneamiento ambiental, estas intervenciones se realizan a través de los contratos de obra seguidamente relacionados:
1. Contrato de obra N°538 de 2018 cuyo objeto es: “CONSTRUCCIÓN PLANTA DE TRATAMIENTO DE AGUAS RESIDUALES PARA EL MUNICIPIO DE PIOJÓ, DEPARTAMENTO DEL ATLÁNTICO” –
2. Contrato de obra N° N°440-2019 cuyo objeto contractual es: “CONSTRUCCIÓN PLANTA DE TRATAMIENTO DE AGUAS RESIDUALES PARA LOS MUNICIPIOS DE SANTO TOMAS, SABANAGRANDE Y PALMAR DE VARELA, UBICADA EN SANTO TOMÁS - DEPARTAMENTO DEL ATLANTICO”</t>
  </si>
  <si>
    <t xml:space="preserve">ACCIÓN ESTRATEGICA No 1.2.3.2. Reducir los aportes de contaminación puntual a los cuerpos de agua a través de sistemas de tratamiento de agua residuales. </t>
  </si>
  <si>
    <t>Municipios con reducción de los aportes de  contaminantes puntuales a los cuerpos de agua de acuerdo con la implementación de los PSMV</t>
  </si>
  <si>
    <t>No. De Municipios</t>
  </si>
  <si>
    <t>Durante esta vigencia la meta presentó un avance del 24,36%, representado en el apoyo que la Corporación ha hecho al municipio de Piojó, a través de la ejecución del Contrato de obra No. 00000538 de 2018 cuyo objeto es: “CONSTRUCCIÓN PLANTA DE TRATAMIENTO DE AGUAS RESIDUALES PARA EL MUNICIPIO DE PIOJÓ, DEPARTAMENTO DEL ATLÁNTICO”el cual se encuentra en ejecución.</t>
  </si>
  <si>
    <t xml:space="preserve">    Número de proyectos con apoyo en la implemenatción de PTARS</t>
  </si>
  <si>
    <t>PROGRAMA No 1.3.  GESTIÓN INTEGRAL DE LOS RIESGOS ASOCIADOS AL RECURSO HÍDRICO</t>
  </si>
  <si>
    <t>PROYECTO No 1.3.1. GENERACIÓN DE CONOCIMIENTO Y REDUCCIÓN DEL RIESGO ASOCIADO AL RECURSO HÍDRICO</t>
  </si>
  <si>
    <t>ACCIÓN ESTRATEGICA No 1.3.1.1. Identificar y caracterizar la Vulnerabilidad de los ecosistemas claves para la regulación Hídrica e inventariar los riesgos sobre infraestructuras de abastecimiento de agua.</t>
  </si>
  <si>
    <t xml:space="preserve">Documento técnico con la identificación de ecosistemas claves e inventario de los riesgos sobre infraestructuras de abastecimiento de agua  </t>
  </si>
  <si>
    <t>ACCIÓN ESTRATEGICA No 1.3.1.2. Diseñar e Implementar medidas de adaptación a los efectos del cambio climático asociados al recurso Hídrico (Reconformación de taludes y/o diques de protección)</t>
  </si>
  <si>
    <t>Número de proyectos de mitigación y adaptación de gestión del riesgo asociado a recurso Hídrico</t>
  </si>
  <si>
    <t>La Corporación celebró el Contrato N° 363 de 2020, cuyo objeto contractual es el de “REALIZAR LAS OBRAS DE RECUPERACIÓN AMBIENTAL, LIMPIEZA Y RECONFORMACIÓN DEL CAUCE DEL ARROYO “EL CIRUELAR” EN EL MUNICIPIO DE BARANOA – DEPARTAMENTO DEL ATLÁNTICO”el cual se encuentra en ejecución, con éste se busca disminuir los altos niveles de sedimentación por la falta de limpieza del cauce</t>
  </si>
  <si>
    <t>ACCIÓN ESTRATEGICA No 1.3.1.3. Construir la Canalización para la Recuperación Paisajística y ambiental del Arroyo el Salao Ubicado en el Municipio de Soledad.</t>
  </si>
  <si>
    <t>Metros lineales construidos y canalizados para la recuperación paisajística y ambiental del arroyo</t>
  </si>
  <si>
    <t>Mtrs Lineales</t>
  </si>
  <si>
    <t>El cumplimiento de esta meta (Construcción y canalización de 796 M/L del arroyo El Salao en el municipio de Soledad) se logró a través del Contrato No. 0000367 del 22 de diciembre de 2014 cuyo objeto es “Realizar la construcción de la Canalización para la Recuperación Paisajística y Ambiental del arroyo El Salao ubicado en el municipio de Soledad, Departamento del Atlántico”.</t>
  </si>
  <si>
    <t>ACCIÓN ESTRATEGICA No 1.3.1.4. Realizar seguimiento ambiental a la Canalización para la Recuperación Paisajística y ambiental del Arroyo el Salao Ubicado en el Municipio de Soledad.</t>
  </si>
  <si>
    <t xml:space="preserve">Documento Técnico de Seguimiento Anual de la recuperación paisajística y ambiental del arroyo </t>
  </si>
  <si>
    <t xml:space="preserve">Se realizó informe de seguimiento a las obras establecidas en el proyecto “Realizar la construcción de la Canalización para la Recuperación Paisajística y Ambiental del arroyo El Salao ubicado en el municipio de Soledad, Departamento del Atlántico”, en el cual se ejecutaron 392 ml de canalización. </t>
  </si>
  <si>
    <t xml:space="preserve">ACCIÓN ESTRATEGICA No 1.3.1.5. Realizar seguimiento ambiental a las Obras de canalización de los arroyos del Distrito de Barranquilla. </t>
  </si>
  <si>
    <t xml:space="preserve">Informe Técnico con el seguimiento  a las obras de canalización de  los arroyos del Distrito de Barranquilla </t>
  </si>
  <si>
    <t>La Corporación cuenta con el informe técnico de seguimiento a las obras de canalización de los arroyos del Distrito de Barranquilla, suministrado por el Distrito de Barranquilla con corte al 30 de junio del 2020.  Mediante oficio radiado CRA No. 003494 de fecha 09 de diciembre de 2020.</t>
  </si>
  <si>
    <t>LÍNEA ESTRATÉGICA No. 2. SOSTENIBILIDAD DEL RECURSO NATURAL</t>
  </si>
  <si>
    <t>PROGRAMA No 2.1. BIODIVERSIDAD Y RIQUEZA DE LOS ECOSISTEMAS TERRESTRES</t>
  </si>
  <si>
    <t>PROYECTO No 2.1.1. DESARROLLO FORESTAL SOSTENIBLE</t>
  </si>
  <si>
    <t>ACCIÓN ESTRATEGICA No 2.1.1.1 Implementar el Plan de Acción Regional de Lucha contra la Desertificación y la Sequia que  contribuya a la restauración de ecosistemas en zonas secas</t>
  </si>
  <si>
    <t>Número de hectáreas en restauración, rehabilitación y reforestación</t>
  </si>
  <si>
    <t>No. De Has.</t>
  </si>
  <si>
    <t>ACCIÓN ESTRATEGICA No 2.1.1.2 Producir 150.000 plantulas, adecuar el sitio y fortalecer técnica y ambientalmente la producción de plantulas en los viveros  de la CRA con fines de restauración y recuperación de suelos.</t>
  </si>
  <si>
    <t>Número de Plantulas de maderables y frutales  producidas</t>
  </si>
  <si>
    <t>No. De Plantulas</t>
  </si>
  <si>
    <t xml:space="preserve">ACCIÓN ESTRATEGICA No 2.1.1.3 Implementar un programa de deforestación evitada que incluya al menos las siguientes lineas de acción: articulación con sectores o entes territoriales para incentivar modelos agroambientales, alternativas de eficiencia energetica en hogares y restaurantes y educación ambiental para disminuir la extracción de leña y carbon vegetal </t>
  </si>
  <si>
    <t>Número de Municipios y/o  sectores con estrategias de reconversión hacia sistemas sostenibles de producción implementados</t>
  </si>
  <si>
    <t>No. De Municipio y/o Sectores</t>
  </si>
  <si>
    <t>ACCIÓN ESTRATEGICA No 2.1.1.4. Ejecutar un programa comunitario de medidas de adoptación al cambio climático basadas en la conservación de los ecosistemas estrategicos (bosque seco y manglar) y enfocadas a la reconverción hacia sistemas sostenibles de producción</t>
  </si>
  <si>
    <t>Número de Medidas de adaptación al cambio climático implementadas</t>
  </si>
  <si>
    <t>No. De Medidas</t>
  </si>
  <si>
    <t xml:space="preserve">ACCIÓN ESTRATEGICA No 2.1.1.5 Implementar un programa de conservación de suelos y promoción de sistemas sostenibles de producción </t>
  </si>
  <si>
    <t>Número de Hectáreas  de suelos degradados en recuperación o rehabilitación</t>
  </si>
  <si>
    <t>PROYECTO No 2.1.2. GESTIÓN DE ESPECIES</t>
  </si>
  <si>
    <t>ACCIÓN ESTRATEGICA No 2.1.2.1.Realizar el diagnóstico de las especies invasoras del departamento y diseñar una estrategia regional para el control de especies invasoras, exóticas y trasplantadas</t>
  </si>
  <si>
    <t>Número de Documentos Diagnóstico realizados</t>
  </si>
  <si>
    <t>La Corporación celebró el Contrato N°351 de 2020 cuyo objeto contractual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AMBIENTAL”el cual se encuentra en ejecución.</t>
  </si>
  <si>
    <t>ACCIÓN ESTRATEGICA No 2.1.2.2. Implementar medidas de prevención, control y manejo de las principales especies invasoras del departamento</t>
  </si>
  <si>
    <t>Número de especies invasoras con medidas de prevención, control y manejo en ejecución</t>
  </si>
  <si>
    <t>No. De Especie</t>
  </si>
  <si>
    <t>ACCIÓN ESTRATEGICA No 2.1.2.3. Implementar proyectos comunitarios  para la conservación y uso sostenible de especies amenazadas priorizadas para el departamento del Atlántico.</t>
  </si>
  <si>
    <t xml:space="preserve">Número de Proyectos comunitarios implementados </t>
  </si>
  <si>
    <t>Se llevó a cabo la contratación del proyecto N° 351 de 2020 cuyo objeto contractual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AMBIENTAL”el cual se encuentra en ejecución.</t>
  </si>
  <si>
    <t>ACCIÓN ESTRATEGICA No 2.1.2.4. Actualizar el inventario de Fauna y Flora Silvestre del Departamento del Atlántico</t>
  </si>
  <si>
    <t>Número de Inventarios realizados</t>
  </si>
  <si>
    <t>La Corporación suscribió el Contrato N° 364-2020, con la finalidad de ejecutar la “ACTUALIZACIÓN Y CONSOLIDACIÓN DEL INVENTARIO DE FLORA Y FAUNA SILVESTRE (TERRESTRE) DEL DEPARTAMENTO DEL ATLÁNTICO EN JURISDICCIÓN DE LA CRA”el cual se encuentra en ejecución. Con la ejecución de éste se espera obtener un inventario de Fauna y Flora Silvestre actualizado.</t>
  </si>
  <si>
    <t>ACCIÓN ESTRATEGICA No 2.1.2.5. Diseñar  y ejecutar acciones de conservación y manejo para 6 especies amanezadas</t>
  </si>
  <si>
    <t>Número de Municipios intervenidos para las 6 medidas de conservaciòn de especies amanazadas</t>
  </si>
  <si>
    <t>PROGRAMA No 2.2. BIODIVERSIDAD Y RIQUEZA DE LOS ECOSISTEMAS MARINO COSTERO</t>
  </si>
  <si>
    <t>PROYECTO No 2.2.1. ORDENACIÓN Y MANEJO DE LA UNIDAD AMBIENTAL COSTERA</t>
  </si>
  <si>
    <t>ACCIÓN ESTRATEGICA No 2.2.1.1. Adoptar e implementar el Plan de Ordenación y Manejo-POMIUAC  de la Unidad Ambiental Costera-UAC del Rio Magdalena</t>
  </si>
  <si>
    <t>Número de acciones de manejo de la Unidad Ambiental Costera</t>
  </si>
  <si>
    <t>No. De Acciones</t>
  </si>
  <si>
    <t>ACCIÓN ESTRATEGICA No 2.2.1.2. Adelantar e implentar acciones encaminadas a impulsar el ecoturismo sostenible en zonas de la franja costera del departamento del Atlántico.</t>
  </si>
  <si>
    <t>Número de playas con estrategias de manejo sostenible implementadas</t>
  </si>
  <si>
    <t>No. De Playas</t>
  </si>
  <si>
    <t>PROYECTO No 2.2.2. MITIGACIÓN DE RIESGO COSTEROS</t>
  </si>
  <si>
    <t>ACCIÓN ESTRATEGICA No 2.2.2.1. Definir e implementar acciones para controlar y mitigar el estado de la Erosión Costera en el Departamento del Atlàntico.</t>
  </si>
  <si>
    <t xml:space="preserve">Número de Acciones Implementadas </t>
  </si>
  <si>
    <t>PROYECTO No 2.2.3. CONSERVACIÓN DE ECOSISTEMAS MARINOS Y COSTEROS</t>
  </si>
  <si>
    <t>ACCIÓN ESTRATEGICA No 2.2.3.1. Diseñar  y ejecutar un  programa educativo  dirigido a  la conservación de la Biodiversidad Marino-Costera del departamento del Atlántico, con enfasis en el cumplimiento de las leyes y orientado a controlar la destrucción de barreras naturales de protección de las costas, tales como manglares, arrecifes coralinos, islas de barrera y otras características geomorfológicas de protección.</t>
  </si>
  <si>
    <t>Número de programas Educativos dirigidos a la Conservación de la Biodiversidad Marino-Costera ejecutados</t>
  </si>
  <si>
    <t>No. De Programas</t>
  </si>
  <si>
    <t>Se logró a través de la ejecución del Contrato Nº 318 de 2020 cuyo objeto contractual es ¨DESARROLLAR UN PROGRAMA EDUCATIVO PARA LA CONSERVACIÓN DE LA BIODIVERSIDAD MARINO COSTERA EN EL DEPARTAMENTO DEL ATLÁNTICO¨. El cual permitió Socializar el Programa con la realización de Talleres de capacitación para un total de Cuatro (04) talleres, dos por cada institución educativa ubicadas en los municipios de Puerto Colombia y Juan de Acosta. Los cuales se enfatizó en temas como ejes temáticos centrales la Biodiversidad y Riqueza de los ecosistemas marino costeros, para lo cual se realizó la convocatoria de 60 estudiantes de los municipios de Puerto Colombia y Juan De Acosta.</t>
  </si>
  <si>
    <t>ACCIÓN ESTRATEGICA No 2.2.3.2. Establecer un  Programa de  Control y Monitoreo de la Unidad Ambiental Costera</t>
  </si>
  <si>
    <t xml:space="preserve">Número de mantenimientos realizados a la Red de Monitoreo formulada, implementada y con seguimiento </t>
  </si>
  <si>
    <t>No. De Manteniminetos</t>
  </si>
  <si>
    <t>La Corporación revisó la información existente, con el objetivo de estructurar los Estudios Previos y Proyectos de Pliegos que permitan la contratación</t>
  </si>
  <si>
    <t>PROGRAMA No 2.3. ESTRATEGIAS REGIONALES DE CONSERVACIÓN</t>
  </si>
  <si>
    <t>PROYECTO No 2.3.1. ÁREAS PROTEGIDAS</t>
  </si>
  <si>
    <t xml:space="preserve">ACCIÓN ESTRATEGICA No 2.3.1.1. Actualizar y ejecutar los  Planes de Manejo Ambiental de las Áreas Protegidas del Departamento </t>
  </si>
  <si>
    <t xml:space="preserve">Número de Planes de Manejo Actualizados </t>
  </si>
  <si>
    <t>Se realizaron reuniones en apoyo con SIRAP Caribe con la finalidad de establecer una nueva metodología de actualización de PMA a nivel nacional, que permita identificar los avances obtenidos en el anterior y las nuevas propuestas para la construcción del PMA</t>
  </si>
  <si>
    <t xml:space="preserve">ACCIÓN ESTRATEGICA No 2.3.1.2. Establecer acciones para promover la conservación efectiva y el cumplimiento del plan de manejo de las áreas protegidas declaradas. </t>
  </si>
  <si>
    <t>Número de Acciones realizadas en el cumplimiento de los planes de manejo de las áreas protegidas</t>
  </si>
  <si>
    <t xml:space="preserve">ACCIÓN ESTRATEGICA No 2.3.1.3. Implementar proyectos de restauraciòn  y conectividad del  Bosque Seco enmarcadas en el SIRAP, SIDAP, SILAP, en el Atlántico.  </t>
  </si>
  <si>
    <t>Número de hectáreas en proceso de restauración para  conservación de áreas protegidas</t>
  </si>
  <si>
    <t xml:space="preserve">ACCIÓN ESTRATEGICA No 2.3.1.4. Adquirir predios privados localizados al interior de las Áreas protegidas </t>
  </si>
  <si>
    <t xml:space="preserve">Números de hectáreas adquiridas al interior de las áreas protegidas  </t>
  </si>
  <si>
    <t>ACCIÓN ESTRATEGICA No 2.3.1.5. Declarar nuevas Áreas Protegidas en el Departamento con registro ante el RUNAP</t>
  </si>
  <si>
    <t>Número de hectáreas protegidas regionales declaradas, homologadas o recategorizadas, inscritas en el RUNAP</t>
  </si>
  <si>
    <t xml:space="preserve">ACCIÓN ESTRATEGICA No 2.3.1.6. Formular y ejecutar Programas de asistencia técnica para la implementación de estrategias educativo ambientales y de participación encaminadas a la conservación de las áreas protegidas declaradas en el departamento del Atlántico. </t>
  </si>
  <si>
    <t>Número de programas formulados y ejecutados en la conservación de las áreas protegidas</t>
  </si>
  <si>
    <t>ACCIÓN ESTRATEGICA No 2.3.1.7. Formular e implementar activiades de protección y recuperación de las zonas de acuiferos ubicadas en las áreas protegidas, para prevenir y mitigar el impacto negativo en en el recurso hídrico</t>
  </si>
  <si>
    <t xml:space="preserve">Número de fuentes hídricas intervenidas </t>
  </si>
  <si>
    <t>No. De Fuentes</t>
  </si>
  <si>
    <t>Se han realizado la recopilación de información de las principales fuentes hídricas de cada zona que determinará algunos criterios a tener en cuenta para la realización de los estudios previos para la respectiva contratación</t>
  </si>
  <si>
    <t>ACCIÓN ESTRATEGICA No 2.3.1.8. Desarrollar estrategias de participación efectiva dirigidas a  los propietarios de predios privados y comunidades de las áreas protegidas enfocadas a la conservación y a la implementación de sistemas productivos sostenibles como medida de adaptación al cambio climático</t>
  </si>
  <si>
    <t xml:space="preserve">Número de Estrategias desarrolladas </t>
  </si>
  <si>
    <t>No. De Estrategia</t>
  </si>
  <si>
    <t>ACCIÓN ESTRATEGICA No 2.3.1.9. Formular e implementar  proyectos Ecoturísticos  de acuerdo con los lineamientos establecidos por la Unidad Administrativa de Parques Nacionales de Colombia (UASPNN), como alternativa sostenible en las áreas protegidas y sus zonas aledañas</t>
  </si>
  <si>
    <t xml:space="preserve">Número de proyectos formulados e implemetados </t>
  </si>
  <si>
    <t>ACCIÓN ESTRATEGICA No 2.3.1.10. Desarrollar  e implementar estudios técnicos que definan la capacidad de carga para el control de ingreso e impactos ambientales generados por los visitantes de las áreas protegidas en el Atlántico</t>
  </si>
  <si>
    <t xml:space="preserve">Número de estudios realizados </t>
  </si>
  <si>
    <t>No. De Estudios</t>
  </si>
  <si>
    <t>La Corporación selecciono el área Distrito Regional de Manejo Integrado DRMI Banco Totumo Bijibana- Repelón y durante el segundo semestre de 2020 se elaboraron los respectivos estudios previos para la contratación.</t>
  </si>
  <si>
    <t>ACCIÓN ESTRATEGICA No 2.3.1.11. Gestión del riesgo de desastre por incendio de cobertura vegetal en áreas declaradas como áreas protegidas.</t>
  </si>
  <si>
    <t>Número de protocolos implementados</t>
  </si>
  <si>
    <t>No. De Protocolo</t>
  </si>
  <si>
    <t>PROYECTO No 2.3.2. NEGOCIOS VERDES</t>
  </si>
  <si>
    <t>ACCIÓN ESTRATEGICA No 2.3.2.1. Actualizar  la  ventanilla nodo de negocios verdes creada para el departamento del Atlántico.</t>
  </si>
  <si>
    <t>Número de ventanillas actualizada</t>
  </si>
  <si>
    <t>No. De Ventanilla</t>
  </si>
  <si>
    <t>ACCIÓN ESTRATEGICA No 2.3.2.2.  Diseñar la Asistencia técnica que permita la consolidación, fortalecimiento  de los Negocios Verdes en el Atlántico</t>
  </si>
  <si>
    <t xml:space="preserve">Número de de negocios verdes consolidados </t>
  </si>
  <si>
    <t>No. De Negocios</t>
  </si>
  <si>
    <t>ACCIÓN ESTRATEGICA No 2.3.2.3. Desarrollar Ferias para la promoción, divulgaciòn y realización de Negocios Verdes en el departamento del Atlántico.</t>
  </si>
  <si>
    <t xml:space="preserve">Número de Ferias realizadas </t>
  </si>
  <si>
    <t>No. De Ferias</t>
  </si>
  <si>
    <t xml:space="preserve">ACCIÓN ESTRATEGICA No 2.3.2.4. Celebrar Convenios de Cooperación o alianzas con el sector público o privado nacional o internacional que permita fortalecer la oferta de asitencia técnica y de marketing de los Negocios Verdes existentes en el departamento del Atlántico. </t>
  </si>
  <si>
    <t xml:space="preserve">Número de convenios establecidos </t>
  </si>
  <si>
    <t>No. De Convenios</t>
  </si>
  <si>
    <t>PROYECTO No 2.3.3. BOLSA VERDE ATLÁNTICO</t>
  </si>
  <si>
    <t>ACCIÓN ESTRATEGICA No 2.3.3.1. Estructurar e implementar la primera fase del Programa Regional de compensaciones ambientales agrupadas denominado Bolsa Verde Atlántico, con el objetivo de preservar y restaurar las áreas prioritarias de conservación de la biodiversidad del Atlántico</t>
  </si>
  <si>
    <t>Seguimiento anual a la implementación del Programa Bolsa Verde</t>
  </si>
  <si>
    <t>Bolsa Verde Atlántico, es el primer mecanismo de implementación de compensaciones ambientales del país que se operará regionalmente a través de una alianza entre la autoridad ambiental y un operador.
El objetivo es implementar de manera agrupada las medidas de compensación ambiental e inversión forzosa del 1% de los diferentes titulares de licencias y permisos ambientales de la jurisdicción.</t>
  </si>
  <si>
    <t>LÍNEA ESTRATÉGICA No. 3. SOSTENIBILIDAD DEMOCRÁTICA</t>
  </si>
  <si>
    <t>PROGRAMA No 3.1. LA EDUCACIÓN AMBIENTAL COMO PROCESO DE TRANSFORMACIÓN CULTURAL PARA LA SOSTENIBILIDAD.</t>
  </si>
  <si>
    <t>PROYECTO No 3.1.1. FORTALECIMIENTO DE LOS COMITES INTERINSTITUCIONALES DE EDUCACIÓN AMBIENTAL-CIDEA</t>
  </si>
  <si>
    <t>ACCIÓN ESTRATEGICA No 3.1.1.1.  Brindar asistencia técnica a los CIDEA municipales para apoyar la formulación del Plan Municipal de Educación Ambiental PMEA</t>
  </si>
  <si>
    <t>Número de PMEA formulados</t>
  </si>
  <si>
    <t>No. De PMEA</t>
  </si>
  <si>
    <t xml:space="preserve">Se impulsó con los alcaldes, la inclusión del tema educativo ambiental, en los Planes de Desarrollo municipales según lo dispuesto en la Ley 1549 de 2012 así como también se socializó la asesoría que brinda la Corporación para el funcionamiento y operatividad del CIDEAM.
</t>
  </si>
  <si>
    <t>ACCIÓN ESTRATEGICA No 3.1.1.2.  Apoyar dos acciones contempladas en los PMEA del CIDEA en cada uno de los 22 municipios</t>
  </si>
  <si>
    <t xml:space="preserve">Números de acciones ejecutadas en CIDEAS municipales </t>
  </si>
  <si>
    <t>ACCIÓN ESTRATEGICA No 3.1.1.3.  Apoyar la realización de acciones coordinadas y aprobadas por el comité técnico del CIDEA Departamental.</t>
  </si>
  <si>
    <t>Número de acciones apoyadas del CIDEA departamental.</t>
  </si>
  <si>
    <t>Teniendo en cuenta que para el primer semestre del año 2020 el Gobierno Nacional decretó el Estado de Emergencia Sanitaria en Colombia, como consecuencia de la declaratoria de pandemia por parte de la Organización Mundial de la Salud – OMS, debido a la propagación del virus Covid-19 fue necesario replantear las estrategias que permitieran desarrollar las actividades de una manera segura, para ello, la entidad  se encuentra analizando la metodologías adecuadas que permitan cumplir con el objetivo misional de la meta suscrita, de acuerdo con las restricciones asociadas a la emergencia declarada, que prohíben la aglomeración de personal y recomiendan medidas de distanciamiento social, común en la implementación de este tipo de proyectos.</t>
  </si>
  <si>
    <t>PROYECTO No 3.1.2. INCLUSIÓN DEL TEMA AMBIENTAL EN LA EDUCACIÓN FORMAL</t>
  </si>
  <si>
    <t>ACCIÓN ESTRATEGICA No 3.1.2.1.  Brindar asesoría técnica a los Proyectos Ambientales Escolares (PRAE) y apoyar acciones para su implementación.</t>
  </si>
  <si>
    <t>Números de Proyectos Ambientales Escolares asesorados técnicamente y apoyados en su implementación</t>
  </si>
  <si>
    <t>ACCIÓN ESTRATEGICA No 3.1.2.2.  Impulsar la conformación y/o operatividad de Semilleros de Investigación, Grupos Ecológicos o Clubes de Ciencia y dinamizadores ambientales de los municipios del departamento.</t>
  </si>
  <si>
    <t>Número de Semilleros de Investigación, Grupos Ecológicos o Clubes de Ciencia y dinamizadores ambientales</t>
  </si>
  <si>
    <t>No. De Semilleros</t>
  </si>
  <si>
    <t>ACCIÓN ESTRATEGICA No 3.1.2.3.  Establecer alianzas estratégicas con Instituciones de Educación Superior para apoyar la realización de acciones que promuevan la dimensión ambiental.</t>
  </si>
  <si>
    <t>Número de acciones que promueven la dimensión ambiental con las IES</t>
  </si>
  <si>
    <t>Apoyamos la realización del V CONGRESO INTERNACIONAL DE ASTROBIOLOGÍA VIRTUAL el cual reunió a  estudiantes, profesores, investigadores, expertos de varios países de Europa, Norteamérica y Latinoamérica alrededor de la Astrobiología, Medio ambiente y demás ciencias interdisciplinares que trabaja en el origen, evolución y distribución de la vida en la Tierra y extrapola estos conceptos en otros ambientes planetarios. El evento fue virtual y se transmitió desde las instalaciones de la universidad del Atlántico</t>
  </si>
  <si>
    <t>ACCIÓN ESTRATEGICA No 3.1.2.4.  Promover la investigación en educación ambiental en el departamento en el marco de la política nacional de educación ambiental (PNEA).</t>
  </si>
  <si>
    <t>Documento con el estado del arte de la educación ambiental en el departamento</t>
  </si>
  <si>
    <t>Número publicaciones del estado del arte de la educación ambiental</t>
  </si>
  <si>
    <t>No. De Publicaciones</t>
  </si>
  <si>
    <t>PROYECTO No 3.1.3. INCLUSIÓN DEL TEMA AMBIENTAL EN LA EDUCACIÓN NO FORMAL.</t>
  </si>
  <si>
    <t>ACCIÓN ESTRATEGICA No 3.1.3.1. Brindar apoyo y acompañamiento a los PROCEDA como motivadores de cultura ambiental ciudadana y promotores de la gestión y la resolución de los conflictos socioambientales a nivel local.</t>
  </si>
  <si>
    <t>Número de PROCEDA apoyados y/o implementados.</t>
  </si>
  <si>
    <t>No. De PROCEDA</t>
  </si>
  <si>
    <t>ACCIÓN ESTRATEGICA No 3.1.3.2.  Desarrollar un programa de capacitación para formar a jóvenes como gestores ambientales urbanos GAU en el departamento</t>
  </si>
  <si>
    <t xml:space="preserve">Número de jóvenes como gestores ambientales urbanos </t>
  </si>
  <si>
    <t>No. De Jovenes</t>
  </si>
  <si>
    <t>PROYECTO No 3.1.4. IMPULSO DE LAS ESTRATEGIAS EDUCATIVAS PARA LA CONSTRUCCIÓN DE UNA CULTURA DE PREVENCIÓN Y GESTIÓN DEL RIESGO.</t>
  </si>
  <si>
    <t>ACCIÓN ESTRATEGICA No 3.1.4.1.  Posicionar el tema de la prevención y gestión del riesgo del desastre desde una visión educativa integradora en los Consejos Municipales de Gestión del Riesgo-CMGR de los municipios del Atlántico</t>
  </si>
  <si>
    <t>Número de proyectos implementados.</t>
  </si>
  <si>
    <t>ACCIÓN ESTRATEGICA No 3.1.4.2.  Apoyar a las Instituciones Educativas para la formulación y/o actualización de los Planes Escolares de Gestión del Riesgo-PEGR.</t>
  </si>
  <si>
    <t>Número de instituciones educativas apoyadas.</t>
  </si>
  <si>
    <t>No. De IE</t>
  </si>
  <si>
    <t>PROGRAMA No 3.2. LA PARTICIPACIÓN SOCIAL COMO FUNDAMENTO DE LA GESTIÓN AMBIENTAL TERRITORIAL.</t>
  </si>
  <si>
    <t>PROYECTO No 3.2.1. ESCUELA DE CAPACITACIÓN AMBIENTAL</t>
  </si>
  <si>
    <t>ACCIÓN ESTRATEGICA No 3.2.1.1.  Brindar el servicio de talleres de educación en temas ambientales relacionados a: Conservación de la biodiversidad, servicios ecosistémicos, manejo y uso sostenible de los ecosistemas marino-costeros, gestión del cambio climático, contaminación de suelo, agua y aire, gestión integral de residuos y Economía Circular, contaminación con metales pesados (mercurio), salud ambiental (COTSA), normatividad ambiental.</t>
  </si>
  <si>
    <t>Porcentajes de talleres de capacitación realizados.</t>
  </si>
  <si>
    <t xml:space="preserve">Se realizaron veintiséis (26) talleres de capacitación en modalidad tanto presencial como virtual dirigido a 821 personas, entre profesores, estudiantes, empresarios, líderes ambientales, red de jóvenes y funcionarios, en los temas de manejo adecuado de los residuos sólidos, temáticas relacionadas a la salud ambiental, biodiversidad, caracol africano, residuos posconsumo entre otros. Estos talleres fueron dirigidos a la población de los municipios de: Barranquilla, Puerto Colombia, Polonuevo, Juan de Acosta, Soledad y Malambo. </t>
  </si>
  <si>
    <t>ACCIÓN ESTRATEGICA No 3.2.1.2. Implementar jornadas pedagógicas a través de las Aulas Ambientales itinerantes para promover una conciencia y cultura ambiental en las comunidades del departamento.</t>
  </si>
  <si>
    <t xml:space="preserve">Número de jornadas pedagógicas itinerantes realizadas </t>
  </si>
  <si>
    <t>No. De Jornadas</t>
  </si>
  <si>
    <t>PROYECTO No 3.2.2 ORGANIZACIONES SOCIALES AL SERVICIO DEL SEGUIMIENTO Y PROTECCIÓN DEL AMBIENTE</t>
  </si>
  <si>
    <t>ACCIÓN ESTRATEGICA No 3.2.2.1.  Apoyar las iniciativas de las ONG´s ambientalistas que coadyuve a gestión ambiental de la Corporación CRA en los municipios del Departamento.</t>
  </si>
  <si>
    <t>Número de proyectos educativo ambientales implementados</t>
  </si>
  <si>
    <t>Se llevó a cabo la celebración del Contrato N° 340 de 2020 cuyo objeto contractual es: “DESARROLLAR UN PROYECTO DE FORMACIÓN DIRIGIDO A LAS ORGANIZACIONES NO GUBERNAMENTALES ONG Y ASOCIACIONES DE PESCADORES PARA LA GESTIÓN Y PROTECCIÓN AMBIENTAL, ASÍ COMO PARA LA SEGURIDAD ALIMENTARIA DE ESTAS COMUNIDADES”el cual se encuentra en ejecución.</t>
  </si>
  <si>
    <t>Número de eventos y/o ferias realizados.</t>
  </si>
  <si>
    <t>No. De Eventos y/o Ferias</t>
  </si>
  <si>
    <t>ACCIÓN ESTRATEGICA No 3.2.2.2.  Apoyo a proyectos productivos para la seguridad alimentaria de las comunidades de pescadores y agricultores del departamento.</t>
  </si>
  <si>
    <t>Número de proyectos productivos implementados</t>
  </si>
  <si>
    <t>PROYECTO No 3.2.3. COMUNICANDO Y DIFUNDIENDO EL CONOCIMIENTO AMBIENTAL SOBRE EL DEPARTAMENTO DEL ATLÁNTICO</t>
  </si>
  <si>
    <t xml:space="preserve">ACCIÓN ESTRATEGICA No 3.2.3.1.  Optimizar el servicio de divulgación de la información que genera la Corporación sobre las iniciativas en las temáticas de educación ambiental y participación y los temas ambientales en general. </t>
  </si>
  <si>
    <t>Número de estrategias de comunicación y cultura ciudadana sobre separación en la fuente desarrolladas</t>
  </si>
  <si>
    <t xml:space="preserve">La meta fue cumplida y superada, teniendo en cuenta que se realizaron más estrategias de las programadas, así:
1. Estrategia: #ALACANECAYNOALACALLE
2. Estrategia: GUÍAS EDUCATIVAS AMBIENTALES
3. Estrategia: ECO CARNAVAL
4. Estrategia:  VIDEOCLIPS EN LOS ZAPATOS DE LA NATURALEZA 
5. Estrategia: Proyecto RUTA POSCONSUMO CRA 
6. Estrategia: UN AMBIENTE DE PELÍCULA </t>
  </si>
  <si>
    <t>Número de campañas de comunicación sobre gestión de cambio climático desarrolladas.</t>
  </si>
  <si>
    <t>No. De Campaña</t>
  </si>
  <si>
    <t>la C.R.A, realizó durante el mes de marzo la campaña "Sembratón por la Vida" en alianza estratégica con el Grupo Argos, Agregados Argos y Ecohotel Ankua, con siembra de 650 árboles de especies: uva mora, ceiba bonga, carito, mangle zaragoza y caracolí, en el municipio de Usiacurí.</t>
  </si>
  <si>
    <t>ACCIÓN ESTRATEGICA No 3.2.3.2.  Desarrollar jornadas anuales, a nivel departamental, de recolección de residuos posconsumo peligrosos, especiales y RAEE (envases y bolsas de agroquímicos, medicamentos vencidos, baterías usadas plomo ácido, bombillas, pilas, computadores y llantas usadas).</t>
  </si>
  <si>
    <t>Número de jornadas de recolección de residuos posconsumo peligrosos, especiales y RAEE realizadas.</t>
  </si>
  <si>
    <t>ACCIÓN ESTRATEGICA No 3.2.3.3.  Promover la utilización de las TICs, a través de la implementación de proyectos virtuales de educación ambiental en busca de innovación, agilidad y cobertura en el acceso a la información y la construcción de conocimiento ambiental.</t>
  </si>
  <si>
    <t xml:space="preserve">Número de proyectos virtuales implementados </t>
  </si>
  <si>
    <t>se cumplió al 100%, con la implementación de un proyecto virtual de educación ambiental que, en unión con la Universidad de la Costa, se llevó a cabo en el mes de julio, a través de dos WEBINAR:  cuyos temas fueron: “Separación selectiva y manejo adecuado de residuos sólidos domiciliarios en momentos del coronavirus” y “El papel de la autoridad ambiental en la implementación del código de colores”.</t>
  </si>
  <si>
    <t>ACCIÓN ESTRATEGICA No 3.2.3.4.  Promocionar escenarios de divulgación e intercambio de conocimientos e iniciativas innovadoras en el marco de la educación ambiental, a nivel regional, nacional e internacional.</t>
  </si>
  <si>
    <t>Número de escenarios realizados o apoyados.</t>
  </si>
  <si>
    <t>No. De Escenarios</t>
  </si>
  <si>
    <t>Número de participación y asistencia a eventos nacionales y/o internacionales en educación ambiental .</t>
  </si>
  <si>
    <t>No. De Participación</t>
  </si>
  <si>
    <t>PROYECTO No 3.2.4. PROMOCIONANDO LA PERSPECTIVA DE GÉNERO PARA EL DESARROLLO AMBIENTAL DEL DEPARTAMENTO DEL ATLÁNTICO.</t>
  </si>
  <si>
    <t>ACCIÓN ESTRATEGICA No 3.2.4.1.  Apoyar iniciativas con enfoque diferencial que incorporen la perspectiva de género asociados a la gestión ambiental de la Corporación CRA.</t>
  </si>
  <si>
    <t xml:space="preserve">Número de proyectos con perspectivas de géneros </t>
  </si>
  <si>
    <t>PROGRAMA No 3.3. LA DIVERSIDAD ETNOCULTURAL DEL DEPARTAMENTO DEL ATLÁNTICO COMO POTENCIAL ESTRATÉGICO PARA LA SOSTENIBILIDAD AMBIENTAL.</t>
  </si>
  <si>
    <t>PROYECTO No 3.3.1. APRENDIENDO A CUIDAR EL AMBIENTE DE LA MANO DE NUESTRAS ETNIAS.</t>
  </si>
  <si>
    <t>ACCIÓN ESTRATEGICA No 3.3.1.1.  Apoyar con enfoque diferencial de las iniciativas integrales de emprendimientos produtivos (plantas medicinales, frutales, huertas caseras, y piscicultura entre otras) o iniciativas de protección de la biodiversidad (reforestación, siembra de manglares entre otras)</t>
  </si>
  <si>
    <t>Número de programas implementados</t>
  </si>
  <si>
    <t>ACCIÓN ESTRATEGICA No 3.3.1.2.  Implementación de acciones con enfoque diferencial para fortalecer los conocimientos, usos, costumbres, saberes y prácticas tradicionales ambientales de las comunidades indígenas y Rom del departamento.</t>
  </si>
  <si>
    <t xml:space="preserve">Número de acciones implementadas </t>
  </si>
  <si>
    <t>ACCIÓN ESTRATEGICA No 3.3.1.3.  Implementación de acciones con enfoque diferencial para fortalecer los conocimientos, usos, costumbres, saberes y prácticas tradicionales ambientales de las comunidades negras, afrocolombianas, raizales y palenqueras NARP del departamento.</t>
  </si>
  <si>
    <t xml:space="preserve">ACCIÓN ESTRATEGICA No 3.3.1.4.  Apoyar iniciativas productivas con enfoque diferencial de las comunidades negras, afrocolombianas, raizales y palenqueras NARP del departamento articuladas al PAI de la Corporación CRA. </t>
  </si>
  <si>
    <t xml:space="preserve">Número de iniciativas productivas implementadas </t>
  </si>
  <si>
    <t>No. De Iniciativas</t>
  </si>
  <si>
    <t>PROGRAMA No 3.4. PARTICIPACIÓN PARA EL SEGUIMIENTOS ODS MUNICIPALES DEL COMPENENTE AMBIENTAL</t>
  </si>
  <si>
    <t>PROYECTO No 3.4.1. IMPULSO A LA CREACIÓN Y ORGANIZACIÓN DE LOS COMITÉS MUNICIPALES DEL MEDIO AMBIENTE Y LOS GUARDIANES DEL MEDIO AMBIENTE (GUMA) EN EL DEPARTAMENTO</t>
  </si>
  <si>
    <t>ACCIÓN ESTRATEGICA No 3.4.1.1.  Crear los comités municipales de guardianes del medio ambiente -GUMA para apoyar la gestión ambiental de la CRA</t>
  </si>
  <si>
    <t>Números de comités municipales de guardianes del medio ambiente GUMA</t>
  </si>
  <si>
    <t>No. De Comites</t>
  </si>
  <si>
    <t>ACCIÓN ESTRATEGICA No 3.4.1.2.  Capacitar y formar a los Guardianes del Medio Ambiente GUMA en los 22 municipios del Departamento del Atlántico.</t>
  </si>
  <si>
    <t xml:space="preserve">100% de guardianes ambientales GUMA organizados y apoyando la gestión ambiental de la CRA </t>
  </si>
  <si>
    <t>PROYECTO No 3.4.2. IMPLEMENTAR UN SISTEMA DE SEGUIMIENTO Y MONITOREO A ESCALA COMUNITARIA DE LOS OBJETIVOS DE DESARROLLO SOSTENIBLE-ODS EN EL DEPARTAMENTO DEL ATLÁNTICO</t>
  </si>
  <si>
    <t>ACCIÓN ESTRATEGICA No 3.4.2.1.  Elaborar una matriz para realizar el seguimiento a los indicadores sociales, económicos y ambientales articulados a los ODS en los municipios del departamento del atlántico.</t>
  </si>
  <si>
    <t>Número de informes anuales de seguimiento a los ODS</t>
  </si>
  <si>
    <t>Celebración del Contrato N° 341 de 2020 cuyo objeto contractual es: “ASESORAR EN LA ESTRUCTURACIÓN DE UN SISTEMA DE SEGUIMIENTO Y MONITOREO A ESCALA COMUNITARIA DE LOS OBJETIVO DE DESARROLLO SOSTENIBLE EN LOS MUNICIPIOS DEL DEPARTAMENTO DEL ATLÁNTICO, SU PUESTA EN FUNCIONAMIENTO CON LA MEDICIÓN DE4 LA LÍNEA BASE Y LA ESTRATEGIA DE COMUNICACIÓN PARA LA INFORMACIÓN GENERADA”el cual se encuentra en ejecución.</t>
  </si>
  <si>
    <t>LÍNEA ESTRATÉGICA No. 4. SOSTENIBILIDAD SECTORIAL</t>
  </si>
  <si>
    <t>PROGRAMA No 4.1. EQUIPAMIENTO SOSTENIBLES</t>
  </si>
  <si>
    <t>PROYECTO No 4.1.1. PRODUCCIÓN MÁS LIMPIA</t>
  </si>
  <si>
    <t xml:space="preserve">ACCIÓN ESTRATEGICA No 4.1.1.1. Implementar Convenios de Producción más Limpia con los sectores de equipamiento urbano </t>
  </si>
  <si>
    <t xml:space="preserve">Número de convenios de Producción más Limpia implementados </t>
  </si>
  <si>
    <t>PROGRAMA No 4.2. POR UN  DEPARTAMENTO CON ENERGÍAS RENOVABLES</t>
  </si>
  <si>
    <t>PROYECTO No 4.2.1. ENERGÍA DE BIOGÁS-BIOMASA</t>
  </si>
  <si>
    <t>ACCIÓN ESTRATEGICA No 4.2.1.1. Fomentar el conocimiento sobre el Potencial energético de la generación de biogás a partir de residuos pecuarios en el Departamento del Atlántico</t>
  </si>
  <si>
    <t>Número de proyectos impulsados</t>
  </si>
  <si>
    <t>Se dio a través de Convenio de Cooperación Internacional que suscribió la Corporación Autónoma Regional del Atlántico con la Universidad de la Costa, Universidad Simón Bolívar y Bluesens GmbH biogás / biomasa como base para el uso del biogás como energía renovable, firmado el 4 de junio de 2019  entre las siguientes entidades cuyo objeto es: "FORTALECIMIENTO DEL ANÁLISIS AMBIENTAL COLOMBIANO PARA EVALUAR EL BIOGÁS / BIOMASA COMO BASE PARA EL USO DEL BIOGÁS COMO ENERGÍA RENOVABLE".  (11/2019 – 10/2021).</t>
  </si>
  <si>
    <t>PROYECTO No 4.2.2. ENERGÍA SOLAR</t>
  </si>
  <si>
    <t xml:space="preserve">ACCIÓN ESTRATEGICA No 4.2.2.1. Impulsar proyectos de generación de Fuentes No convencionales de Energía Renovable-FNCER, cogeneración a partir de la misma generación distribuida y de gestión eficiente de la energía. </t>
  </si>
  <si>
    <t>Se celebró el contrato N° 355 de 2020 cuyo objeto fue:  “DISEÑO DE UN SISTEMA HIBRIDO (SOLAR FOTOVOLTAICO Y EÓLICO) DE 145 KWH/DÍA PARA ABASTECER DE ENERGÍA ELÉCTRICA A UN LABORATORIO DE CALIDAD AMBIENTAL UBICADO EN ZONA RURAL DEL MUNICIPIO DE SABANAGRANDE-ATLÁNTICO”el cual se encuentra en ejecución.</t>
  </si>
  <si>
    <t>PROYECTO No 4.2.3. ENERGÍA EÓLICA</t>
  </si>
  <si>
    <t>ACCIÓN ESTRATEGICA No 4.2.3.1. Conocer el potencial de energía eólica en el Departamento del Atlántico</t>
  </si>
  <si>
    <t xml:space="preserve">Número de estudios de evaluación geoespacial </t>
  </si>
  <si>
    <t xml:space="preserve">PROGRAMA No 4.3. TERRITORIOS CON PLANIFICACIÓN AMBIENTAL </t>
  </si>
  <si>
    <t>PROYECTO No 4.3.1. INSTRUMENTOS DE PLANIFICACIÓN</t>
  </si>
  <si>
    <t xml:space="preserve">ACCIÓN ESTRATEGICA No 4.3.1.1. Asesorar a los municipios del Dpto. en la inclusión del componente ambiental en los procesos de planificación y ordenamiento territorial, con énfasis en la incorporación de las determinantes ambientales </t>
  </si>
  <si>
    <t xml:space="preserve">Número de municipios asesorados  en la incorporación de las determinantes ambientales </t>
  </si>
  <si>
    <t xml:space="preserve">Las asesorías realizadas a los 23 municipios en la incorporación de las determinantes ambientales, permitieron el cumplimiento de la meta el año 2020, éstas consistieron en: 
1. Difundir las determinantes ambientes y su actualización a las entidades territoriales, con el fin de que fueran incorporadas en sus instrumentos de planificación de desarrollo y territorial. 
2. Realizar capacitaciones sobre ordenamiento territorial, POT y determinantes ambientales a las entidades territoriales. </t>
  </si>
  <si>
    <t>ACCIÓN ESTRATEGICA No 4.3.1.2. Construir el Plan de Gestión Regional. Ambiental - PGAR para la vigencia 2023-2032</t>
  </si>
  <si>
    <t>Número de documento elaborado</t>
  </si>
  <si>
    <t>PROYECTO No 4.3.2. ESQUEMAS DE PAGO POR SERVICIOS AMBIENTALES</t>
  </si>
  <si>
    <t xml:space="preserve">ACCIÓN ESTRATEGICA No 4.3.2.1. Asistir a los municipios en la implementación y seguimiento de esquemas de pago por servicios ambientales </t>
  </si>
  <si>
    <t>Número de entidades asesoradas</t>
  </si>
  <si>
    <t>No. De Entidades</t>
  </si>
  <si>
    <t xml:space="preserve">Dentro del plan diseñado para darle cumplimiento a esta meta, se difundió la Resolución No. 440 de fecha 19 de junio de 2019, por medio de la cual se adoptan las áreas de importancia estratégica para la conservación de los recursos hídricos en el Departamento del Atlántico y solicitar información en relación con los esquemas de pago por servicios ambientales que habían sido implementados. Esta acción fue realizada mediante la remisión del oficio Radicado CRA No. 000456 de fecha 11 de febrero de 2020, el cual fue enviado a los 23 municipios y el Distrito del Departamento del Atlántico. en el Departamento del Atlántico y solicitar información en relación con los esquemas de pago por servicios ambientales que hayan sido implementados.
Esta acción fue realizada mediante la remisión del oficio Radicado CRA No. 000456 de fecha 11 de febrero de 2020, el cual fue enviado a los 23 municipios y el Distrito del Departamento del Atlántico. 
2. Realizar capacitaciones sobre la implementación y seguimiento de esquemas de pago por servicios ambientales. 
Esta actividad se encuentra en etapa de planeación para que, a partir del segundo semestre de 2020, de manera virtual sean socializadas a través de presentaciones y contenidos las capacitaciones en esta materia.
</t>
  </si>
  <si>
    <t>PROYECTO No 4.3.3. DETERMINANTES AMBIENTALES</t>
  </si>
  <si>
    <t>ACCIÓN ESTRATEGICA No 4.3.3.1. Ejecutar acciones orientadas a actualizar la información ambiental en el marco del ordenamiento ambiental y territorial que sirvan de insumo para la elaboración de los POT.</t>
  </si>
  <si>
    <t>Números de actualizaciones de determinantes ambientales actualizados</t>
  </si>
  <si>
    <t>No. De actualizaciones</t>
  </si>
  <si>
    <t xml:space="preserve">La Corporación celebró el Contrato N° 375 del 2020, cuyo objeto contractual es: “ELABORAR EL PLAN DE MANEJO DE LA CIÉNAGA DE MALLORQUÍN Y LA ACTUALIZACIÓN DE LOS ESTUDIOS PARA EL MANEJO INTEGRADO DE LOS MANGLARES DEL DEPARTAMENTO DEL ATLÁNTICO, EN CUMPLIMIENTO DE LO ESTABLECIDO EN EL PLAN DE ACCION INSTITUCIONAL 2020 – 2023”el cual se encuentra en ejecución. </t>
  </si>
  <si>
    <t>PROYECTO No 4.3.4. SALUD AMBIENTAL</t>
  </si>
  <si>
    <t>ACCIÓN ESTRATEGICA No 4.3.4.1. Ejecutar acciones orientadas a implementar la Política Integral del Salud Ambiental en la jurisdicción de la CRA</t>
  </si>
  <si>
    <t xml:space="preserve">Número de acciones de implementación </t>
  </si>
  <si>
    <t>PROGRAMA No 4.4. PREVENCIÓN, CONTROL Y MONITOREO DEL  AIRE Y SUELO</t>
  </si>
  <si>
    <t>PROYECTO No 4.4.1. AIRE</t>
  </si>
  <si>
    <t>ACCIÓN ESTRATEGICA No 4.4.1.1. Realizar acciones tendientes a actualizar la situación de concentración de contaminantes criterio en la calidad del aire del Departamento del Atlántico</t>
  </si>
  <si>
    <t>Número de estaciones de calidad del aire en operación con reportes actualizado para el Sistema de Vigilancia de la Calidad del Aire aplicando el Protocolo para el Monitoreo y Seguimiento</t>
  </si>
  <si>
    <t>No. De Estaciones</t>
  </si>
  <si>
    <t xml:space="preserve">Se encuentran operando seis (6) de las ocho (8) estaciones debido a que la estación ubicada en Luruaco por un fallo eléctrico sufrió averías en el sistema y debió ser retirada del sitio, y la estación Bomberos de Puerto Colombia sufrió fallos en la bomba de succión y daño en la tarjeta electrónica del equipo Thermo Scientific modelo 5014i (PM10) S/N: CM16101001, debido a la humedad, </t>
  </si>
  <si>
    <t>ACCIÓN ESTRATEGICA No 4.4.1.2. Realizar un rediseño del sistema de vigilancia de la calidad del aire en el Departamento del Atlántico.</t>
  </si>
  <si>
    <t xml:space="preserve">Nímero de Sistema rediseñado </t>
  </si>
  <si>
    <t>No. De Sistema</t>
  </si>
  <si>
    <t>ACCIÓN ESTRATEGICA No 4.4.1.3. Realizar informes mensuales para el Sistema de Calidad del Aire -SISAIRE (Resolución 651 de 29 de marzo de 2010).</t>
  </si>
  <si>
    <t>Número de informes mensuales el Subsistema de información de calidad del aire-SISAIRE  realizados</t>
  </si>
  <si>
    <t>Se desarrollaron labores de aprestamiento asociadas con el SUBSISTEMA DE INFORMACION SOBRE CALIDAD DEL AIRE-SISAIRE (ampliación informe de gestión)</t>
  </si>
  <si>
    <t>ACCIÓN ESTRATEGICA No 4.4.1.4. Tramitar y obtener certificado de acreditación del Sistema de Vigilancia de la Calidad del Aire acreditado con NTC ISO 17025 por el IDEAM ( Par. 2 del artículo 2.2.8.9.1.5 del Decreto Único 1076 de 2015).</t>
  </si>
  <si>
    <t>Número de sistema de vigilancia acreditado</t>
  </si>
  <si>
    <t>No. De Sistemas</t>
  </si>
  <si>
    <t>ACCIÓN ESTRATEGICA No 4.4.1.5. Realizar evaluación, seguimiento y control ambiental de las emisiones atmosféricas en el Departamento.</t>
  </si>
  <si>
    <t>% de seguimiento y evaluación de emisiones atmosféricas</t>
  </si>
  <si>
    <t xml:space="preserve">Se realizaron los procesos técnico-jurídicos asociados con evaluación y seguimiento de emisiones atmosféricas que se resumen en un (1) nuevo permiso de emisiones atmosféricas otorgado, dos (2) modificaciones de permisos de emisiones y ocho (8) informes técnicos de seguimiento. A su vez se elaboraron veintidós (22) informes técnicos asociados con seguimiento y control de emisiones atmosféricas, que se encuentran en revisión por la coordinación. </t>
  </si>
  <si>
    <t>ACCIÓN ESTRATEGICA No 4.4.1.6. Estimar las emisiones de Gases de Efecto Invernadero (GEI) sectorial en el Departamento del Atlántico.</t>
  </si>
  <si>
    <t>Número de estudios técnicos de estimación de GEI</t>
  </si>
  <si>
    <t>ACCIÓN ESTRATEGICA No 4.4.1.7. Elaborar el Inventario de emisiones atmosféricas aplicando la Guía para la elaboración de Inventario de Emisiones Atmosféricas</t>
  </si>
  <si>
    <t>Número de documentos técnicos elaborados</t>
  </si>
  <si>
    <t>PROYECTO No 4.4.2. OLORES</t>
  </si>
  <si>
    <t xml:space="preserve">ACCIÓN ESTRATEGICA No 4.4.2.1. Controlar las actividades productoras de olores ofensivos en el Departamento </t>
  </si>
  <si>
    <t>Número de operativos realizados por año</t>
  </si>
  <si>
    <t>No. De Operativos</t>
  </si>
  <si>
    <t>Se realizaron dos (2) operativos de control de olores, atendiendo a las denuncias de los Radicados CRA No.: 6075 del 28/08/2020 y 6788 del 22/09/2020 - Medida preventiva de suspensión de actividades impuesta al señor Michel Pabón y Radicado CRA No. 881 de 2020 - Atención a denuncias realizadas contra la empresa Puro Pollo; informe técnico de requerimientos.</t>
  </si>
  <si>
    <t>PROYECTO No 4.4.3. RUIDO</t>
  </si>
  <si>
    <t>ACCIÓN ESTRATEGICA No 4.4.3.1. Actualizar  los mapas de ruido diurno y nocturno en los municipios con más de 100.000 habitantes del Departamento</t>
  </si>
  <si>
    <t>Número de mapas de ruido diurno y nocturno actualizados</t>
  </si>
  <si>
    <t>No. De Mapas</t>
  </si>
  <si>
    <t>ACCIÓN ESTRATEGICA No 4.4.3.2. Promover la adecuada gestión ambiental de las actividades generadoras de emisiones de ruido en el Departamento del Atlántico</t>
  </si>
  <si>
    <t>Porcentaje de quejas atendidas</t>
  </si>
  <si>
    <t>La Corporación, en cumplimiento de las funciones de control y seguimiento ambiental en atención al Radicado CRA N° 7776 del 2020  por parte del Grupo de Reacción Inmediata de la queja emisiones de ruido; realizó visita de inspección, producto de la cual, la Corporación requirió a la empresa identificada Metrobloque, el correspondiente informe de Monitoreo por Ruido para el control de los niveles de presión sonora que la empresa estaba emitiendo a la comunidad Aledaña.</t>
  </si>
  <si>
    <t>ACCIÓN ESTRATEGICA No 4.4.3.3. Proporcionar apoyo técnico a los municipios del Departamento del Atlántico en las mediciones de emisión de ruido</t>
  </si>
  <si>
    <t>Número de equipos adquiridos</t>
  </si>
  <si>
    <t>Número de equipos  calibrados</t>
  </si>
  <si>
    <t xml:space="preserve">Desde la Subdirección de Gestión Ambiental se adelantó la elaboración de los estudios previos, para celebrar el proceso de contratación para la adquisición del servicio de calibración de los equipos de medición de Ruido, tomando como referente lo establecido en la Resolución No. 0627 del 2006.
Se analizaron las propuestas económicas de las empresas EPORDESA e INTECON.  
</t>
  </si>
  <si>
    <t>PROYECTO No 4.4.4. RESIDUOS Y ECONOMÍA CIRCULAR</t>
  </si>
  <si>
    <t>ACCIÓN ESTRATEGICA No 4.4.4.1. Fomentar el aprovechamiento local del plástico y otros materiales reciclables en los municipios costeros del Departamento del Atlántico</t>
  </si>
  <si>
    <t>Número de proyectos  implementados</t>
  </si>
  <si>
    <t>ACCIÓN ESTRATEGICA No 4.4.4.2. Realizar seguimiento a la  implementación del PGIRS  municipios de la jurisdicción de la CRA.</t>
  </si>
  <si>
    <t xml:space="preserve">Número de municipios con seguimiento de los PGIRS </t>
  </si>
  <si>
    <t>se llevó a cabo el seguimiento a la implementación y actualización de los PGIRS en los veintitrés (23) municipios, en cumplimiento a la normatividad legal vigente de la Resolución 754 del 2014 y el Decreto 1077 del 2015.</t>
  </si>
  <si>
    <t>ACCIÓN ESTRATEGICA No 4.4.4.3. Realizar seguimiento a la  implementación  del Plan de Gestión de Residuos Peligrosos de los municipios de la jurisdicción de la CRA.</t>
  </si>
  <si>
    <t>Porcentaje de seguimiento en la implementación del PGRESPEL del Departamento</t>
  </si>
  <si>
    <t>Se cumplió con el cronograma de elaboración de trabajo  para la realización de las visitas de seguimiento  en la implementación al PGRESPEL del departamento.</t>
  </si>
  <si>
    <t xml:space="preserve">ACCIÓN ESTRATEGICA No 4.4.4.4. Actualizar el registro y reporte de usuarios generadores de RESPEL </t>
  </si>
  <si>
    <t>% de registros y reportes actualizados</t>
  </si>
  <si>
    <t xml:space="preserve">En el aplicativo de Registro de Generadores de Residuos o Desechos peligrosos y a la fecha se encuentran inscritos 521 empresas, durante el año 2020 se les tramitaron 15 solicitudes de registro. </t>
  </si>
  <si>
    <t>ACCIÓN ESTRATEGICA No 4.4.4.5. Crear una Agenda Departamental de  Economía Circular: materiales industriales y productos de uso masivo (RAEE, RESPEL, llantas usadas), Materiales de envases y empaques; Flujos de Biomasa, Flujos de Agua, Fuentes y flujos de energía, materiales de construcción.</t>
  </si>
  <si>
    <t>Número de agendas de economía circular elaboradas</t>
  </si>
  <si>
    <t>No. De Agenda</t>
  </si>
  <si>
    <t xml:space="preserve">ACCIÓN ESTRATEGICA No 4.4.4.6. Ejecutar proyectos en el marco de la Agenda Departamental de Economía </t>
  </si>
  <si>
    <t xml:space="preserve">Número de proyectos de economía circular ejecutados </t>
  </si>
  <si>
    <t xml:space="preserve">PROGRAMA No 4.5. INSTRUMENTOS ECONÓMICOS Y DE CONTROL AMBIENTAL </t>
  </si>
  <si>
    <t>PROYECTO No 4.5.1. EVALUACIÓN, SEGUIMIENTO Y CONTROL AMBIENTAL</t>
  </si>
  <si>
    <t>ACCIÓN ESTRATEGICA No 4.5.1.1. Promover la eficiencia en la evaluación, seguimiento y control de  trámites ambientales</t>
  </si>
  <si>
    <t>% de trámites atendidos para la evaluación, seguimiento y resolución de autorizaciones ambientales otorgadas por la corporación, con cumplimiento de los términos otorgados por la Ley</t>
  </si>
  <si>
    <t>En el ejercicio de las funciones de Evaluación, Seguimiento y Control en en el año 2020  se recibieron trescientas doce (312) solicitudes de trámites ambientales. Atendidos y priorizados acorde a la situación actual del estado de emergencia como se registra en la tabla (ver informe de gestión)</t>
  </si>
  <si>
    <t xml:space="preserve">ACCIÓN ESTRATEGICA No 4.5.1.2. Atender oportuna y eficazmente las quejas ambientales y procesos sancionatorios </t>
  </si>
  <si>
    <t xml:space="preserve">Porcentaje de quejas y procesos sancionatorios resueltos </t>
  </si>
  <si>
    <t>La Subdirección de Gestión Ambiental ha identificado alrededor de MIL CUATROCIENTOS SESENTA Y OCHO (1468) procesos sancionatorios, de los cuales se priorizaron cuatrocientos noventa y nueve (499), de ellos, durante el año 2020 se alcanzó la resolución de sesenta y cinco (65) procesos administrativos que se encontraban en curso para un total del 13.22%.  Así las cosas, se registra un avance del 49% en el cumplimiento de la meta en referencia.</t>
  </si>
  <si>
    <t>ACCIÓN ESTRATEGICA No 4.5.1.3. Realizar seguimiento a medidas de compensación</t>
  </si>
  <si>
    <t>% de autorizaciones ambientales con seguimiento</t>
  </si>
  <si>
    <t>La Corporación en la vigencia en el 2020, priorizó el seguimiento a las medidas de compensación establecidos en el marco de los proyectos licenciados y aprovechamiento Forestal único (ver seguimiento en informe de gestión)</t>
  </si>
  <si>
    <t>ACCIÓN ESTRATEGICA No 4.5.1.4. Promover instrumentos de formalización minera  para identificar  actividades ilegales en los Sectores productivos de alto impacto</t>
  </si>
  <si>
    <t>Número de estudios realizados</t>
  </si>
  <si>
    <t>ACCIÓN ESTRATEGICA No 4.5.1.5. Promover instrumentos de formalización minera  para identificar y monitorear actividades ilegales en los Sectores productivos de alto impacto</t>
  </si>
  <si>
    <t>% de usuarios ilegales identificados con procesos de formalización de la actividad minera</t>
  </si>
  <si>
    <t>ACCIÓN ESTRATEGICA No 4.5.1.6. Atender oportuna y eficazmente las quejas ambientales</t>
  </si>
  <si>
    <t>Porcentaje de quejas y de seguimiento a la red amigos de la fauna</t>
  </si>
  <si>
    <t>Logramos una atención y seguimiento del 100% a la Red Amigos de la Fauna en colaboración del grupo CRÍA (Centro de Reacción Inmediata) y la fauna decomisada presente en cada uno de estos establecimientos</t>
  </si>
  <si>
    <t xml:space="preserve">ACCIÓN ESTRATEGICA No 4.5.1.7.  Controlar el tráfico ilegal de especies de Fauna y Flora en el Atlántico </t>
  </si>
  <si>
    <t>Porcentaje de denuncias atendidas</t>
  </si>
  <si>
    <t xml:space="preserve">Se llevaron a cabo cuarenta y dos (42) operativos asociados  a denuncias ambientales, de los cuales catorce (20) corresponden a denuncias por  tráfico ilegal de flora y fauna, siete (7) en apoyo al programa  gobernanza forestal control al tráfico de  Flora, seis (6) operativos de búsqueda y rescate de fauna en peligro y (7) Siete operativos en que hubo deceso de los animales o no se encontró infracción relacionada con delito ambiental. </t>
  </si>
  <si>
    <t>ACCIÓN ESTRATEGICA No 4.5.1.8 Atender oportuna y eficazmente las quejas ambientales</t>
  </si>
  <si>
    <t xml:space="preserve">Número de CAVF implementado </t>
  </si>
  <si>
    <t>No. De CAVF</t>
  </si>
  <si>
    <t>PROYECTO No 4.5.2. INSTRUMENTOS ECONÓMICOS</t>
  </si>
  <si>
    <t>ACCIÓN ESTRATEGICA No 4.5.2.1. Implementar instrumentos económicos dependiendo de la actividad y su afectación al ambiente</t>
  </si>
  <si>
    <t>Número de bases de datos elaboradas</t>
  </si>
  <si>
    <t>No. De BD</t>
  </si>
  <si>
    <t xml:space="preserve">PROGRAMA No 4.6. COMUNIDADES Y TERRITORIOS CON CONOCIMIENTO Y ADAPTACIÓN A LA GESTIÓN DEL RIESGO </t>
  </si>
  <si>
    <t>PROYECTO No 4.6.1. CONOCIMIENTO Y ADAPTACIÓN A LA GESTIÓN DEL RIESGO</t>
  </si>
  <si>
    <t>ACCIÓN ESTRATEGICA No 4.6.1.1. Elaborar estudios técnicos para el conocimiento y reducción del riesgo e incorporación de la gestión del riesgo en el ordenamiento territorial de los municipios</t>
  </si>
  <si>
    <t>Número de mapas de riesgo elaborados</t>
  </si>
  <si>
    <t>ACCIÓN ESTRATEGICA No 4.6.1.2. Actualizar estudios técnicos para el conocimiento y reducción del riesgo elaborados e incorporación de la gestión del riesgo en el ordenamiento territorial de los municipios</t>
  </si>
  <si>
    <t>Número de mapas de amenazas actualizados</t>
  </si>
  <si>
    <t>ACCIÓN ESTRATEGICA No 4.6.1.3. Promover asesorías para el conocimiento y reducción del riesgo de desastres  e incorporación de la gestión del riesgo en el ordenamiento territorial de los municipios</t>
  </si>
  <si>
    <t>Porcetanje de municipios asesorados anualmente</t>
  </si>
  <si>
    <t>La meta tuvo un cumplimiento del 100% durante la vigencia. Para el cumplimiento de la meta, se realizaron las actividades relacionadas en el informe de gestión.</t>
  </si>
  <si>
    <t>ACCIÓN ESTRATEGICA No 4.6.1.4. Brindar acompañamiento y asistencia a las entidades territoriales del Departamento del Atlántico, susceptibles de amenazas por incendios de cobertura vegetal</t>
  </si>
  <si>
    <t xml:space="preserve">Número de municipios asistidos </t>
  </si>
  <si>
    <t xml:space="preserve">Dentro del plan diseñado para darle cumplimiento a esta meta, se realizaron tres (3) actividades, las cuales se relacionan a continuación: 
1. Se solicitó a los municipios de la jurisdicción el informe de estado de ejecución del Plan de Gestión del riesgo municipal o documento actualizado en los casos en que los municipios hallan adelantado dicho proceso.
2. Se revisó el mapa de amenazas por incendios forestales del Municipio de Usiacurí, conforme al Protocolo de Incendios Forestales elaborados por el IDEAM.
3. Asesorar a los municipios en la actualización del mapa de incendios forestales a nivel municipal.
</t>
  </si>
  <si>
    <t>PROGRAMA No 4.7. COMUNIDADES Y TERRITORIOS CON CONOCIMIENTO Y ADAPTACIÓN CAMBIO CLIMÁTICO</t>
  </si>
  <si>
    <t>PROYECTO No 4.7.1. CONOCIMIENTO Y ADAPTACIÓN AL CAMBIO CLIMÁTICO</t>
  </si>
  <si>
    <t>ACCIÓN ESTRATEGICA No 4.7.1.1. Formular e implementar intervenciones locales orientadas a reducir  la vulnerabilidad y el  aumento de la resiliencia a la variabilidad y al cambio climático, en articulación con la Política Nacional de Cambio Climático y el PGICCTA del Departamento del Atlántico.</t>
  </si>
  <si>
    <t>Número de proyectos para ejecutar acciones para la mitigación y adaptación</t>
  </si>
  <si>
    <t>LÍNEA ESTRATÉGICA No. 5. SOSTENIBILIDAD INSTITUCIONAL</t>
  </si>
  <si>
    <t>PROGRAMA No 5.1. GESTIÓN HUMANA (PERSONAL COMPETENTE PARA LA SOSTENIBILIDAD AMBIENTAL EN EL DEPARTAMENTO)</t>
  </si>
  <si>
    <t>PROYECTO No 5.1.1. BIENESTAR SOCIAL</t>
  </si>
  <si>
    <t>ACCIÓN ESTRATEGICA No 5.1.1.1. Realizar un estudio para el fortalecimiento Institucional de la Entidad encaminado a la ampliación de la planta de personal y la creación de nuevos cargos.</t>
  </si>
  <si>
    <t xml:space="preserve">Numero de estudios realizados </t>
  </si>
  <si>
    <t>ACCIÓN ESTRATEGICA No 5.1.1.2. Garantizar la libre asociación de los funcionarios de la Entidad</t>
  </si>
  <si>
    <t>Numero de actividades desarrolladas por el grupo de funcionarios que pertenecen al sindicato/actividades planeadas</t>
  </si>
  <si>
    <t>No. De Actividades</t>
  </si>
  <si>
    <t xml:space="preserve">Se realizaron seis (6) actividades de las cuales una de ellas fue  entre los representantes del Sindicato Sindepublico y el Director General con su equipo de apoyo. (Secretario General, Abogados externos asesores, y Profesional de Gestión Humana), para revisar temas propuestos por el Sindicato con relación al Plan de Acción Institucional, pago de viáticos, novedades de personal, reestructuración organizacional. </t>
  </si>
  <si>
    <t xml:space="preserve">ACCIÓN ESTRATEGICA No 5.1.1.3. Elaborar y ejecutar el programa de capacitación y bienestar social de la Entidad para fortalecer los conocimientos, habilidades y destrezas de los funcionarios de la Corporación teniendo en cuenta los tres ejes del Plan Nacional de Formación y Capacitación: Gobernanza para la paz, Gestión del conocimiento, Creación del valor público. </t>
  </si>
  <si>
    <t>Porcentaje de Funcionarios de planta capacitados</t>
  </si>
  <si>
    <t xml:space="preserve">Durante la presente vigencia cumplimos con el Plan de Capacitación y Bienestar Social programado, logrando el cumplimiento del 100% de la meta; es decir, se cumplió con el 90%.
A continuación relacionamos las capacitaciones y temáticas desarrolladas:
1. Servicios de atención al usuario y de empresas públicas. 
2. Relaciones públicas
3. Piloto de drones internacionales
4. Gestión ambiental
5. Derecho disciplinario
En cuanto al programa de Bienestar Social se realizaron las siguientes actividades:
1. Ecocarnavales: Carnaval con valores ambientales
2. Día de la Mujer.
Durante el período de aislamiento a causa de la pandemia se realizaron de  manera virtual  las siguientes actividades:
1. Día de la secretaria.  
2. Clase de Yoga. 
3. Estrategia CRA Contigo en casa .
4. Acompañamiento por Psicóloga Clínica.   situaciones de estrés y ansiedad producto del confinamiento y el trabajo en casa. Se realizaron 38 sesiones mensuales de seguimiento individual a funcionarios y contratistas. En total desde agosto a diciembre se atendieron 23 servidores que necesitaron acompañamiento y asesoría psicológica, identificados desde el sistema de vigilancia epidemiológica de la Entidad para COVID -19.
5. Actividad recreativa para los hijos de los funcionarios con motivo de la Navidad.  
6. Actividad de integración recreativa para todos los funcionarios y contratistas con motivo del fin de año. 
</t>
  </si>
  <si>
    <t>ACCIÓN ESTRATEGICA No 5.1.1.4. Otorgar auxilios de tipo educativo y otros, a funcionarios que cumplen ciertos requisitos.</t>
  </si>
  <si>
    <t>Número de auxilios</t>
  </si>
  <si>
    <t>No. De Auxilios</t>
  </si>
  <si>
    <t>Cumplimos con el 100% de la meta programada para la vigencia 2020; sin embargo, es necesario mencionar que se otorgaron un mayor número de estímulos educativos, logrando favorecer a veinticuatro (24) funcionarios para que sus hijos iniciaran, continaran o culminaran sus estudios académicos; y así mismo, otorgamos once (11) estímulos educativos a funcionarios para iniciar sus estudios de pregrado y/o postgrado, para un total de 35 auxilios entregados.</t>
  </si>
  <si>
    <t>PROGRAMA No 5.2. SEGURIDAD Y SALUD EN EL TRABAJO</t>
  </si>
  <si>
    <t>PROYECTO No 5.2.1. SG-SST</t>
  </si>
  <si>
    <t>ACCIÓN ESTRATEGICA No 5.2.1.1. Mantener calificación superior a 90 sobre 100 en la  continuidad y mejoramiento del SG-SST (Resolución 312 de 2019 y el decreto 1072 de 2015)</t>
  </si>
  <si>
    <t>Número de Informes (anuales)</t>
  </si>
  <si>
    <t xml:space="preserve">Con la gestión de Seguridad y Salud en el trabajo, adelantada por la Corporación Autónoma Regional del Atlántico en pro del bienestar de su capital humano, se logró obtener una autoevaluación de estándares Mínimos, con una valoración superior a 90 puntos. Lo anterior se alcanzó, dando cumplimiento a los requerimientos legales en materia de Seguridad y Salud en el Trabajo, con la ejecución del plan de trabajo anual diseñado para tales efectos y fortaleciendo y adaptando la realización de actividades a los retos impuesto por la pandemia generada por la Covid – 19.
</t>
  </si>
  <si>
    <t>ACCIÓN ESTRATEGICA No 5.2.1.2. Realizar diagnostico del perfil sociodemográfico y de las condiciones de salud de los trabajadores</t>
  </si>
  <si>
    <t>Número de Documentos</t>
  </si>
  <si>
    <t>Se logró realizar el proceso de actualización del perfil sociodemográfico de la población trabajadora desde el área de Seguridad y Salud en el Trabajo. Mientras que la determinación de las condiciones de salud de los trabajadores, sólo es posible como resultado de la realización de los exámenes medico ocupacionales periódicos, los cuales al ser aplazados por el riesgo de contagio de Covid – 19 durante la pandemia, fueron aplazados para la siguiente vigencia.</t>
  </si>
  <si>
    <t xml:space="preserve">ACCIÓN ESTRATEGICA No 5.2.1.3. Realizar informes de ejecución de las actividades de medicina preventiva y del trabajo, promoción y prevención y programas de vigilancia epidemiológica </t>
  </si>
  <si>
    <t>Número de Informes de ejecución de actividades</t>
  </si>
  <si>
    <t xml:space="preserve">Se lograron realizar las actividades de medicina preventiva y del trabajo, promoción y prevención de vigilancia epidemiológica asociada a riesgo prioritarios mayormente exigidos por la pandemia, siendo éstos: riesgo psicosocial, riesgo biológico, riesgo osteomuscular. </t>
  </si>
  <si>
    <t>ACCIÓN ESTRATEGICA No 5.2.1.4. Realizar reportes periódicos sobre la práctica de exámenes médicos ocupacionales de ingreso, control periódico y retiro de todos los trabajadores y de control periódico para los colaboradores con contratos iguales o superiores a seis meses</t>
  </si>
  <si>
    <t xml:space="preserve">No. de reportes de Información </t>
  </si>
  <si>
    <t>No. De Reportes</t>
  </si>
  <si>
    <t>Se llevó a cabo la realización de exámenes médicos de ingreso, retiro y exámenes médicos para valorar aptitud para formación en trabajo en alturas.</t>
  </si>
  <si>
    <t>ACCIÓN ESTRATEGICA No 5.2.1.5. Realizar reportes anuales sobre los funcionarios y trabajadores en misión, los elementos de protección personal y colectiva que se requieren para el desarrollo de una labor segura y los elementos de protección frente a brotes pandémicos generadores de emergencias económicas, sociales y ecológicas</t>
  </si>
  <si>
    <t xml:space="preserve">No. de reportes anuales </t>
  </si>
  <si>
    <t xml:space="preserve">Durante la vigencia 2020 se logró la entrega de más de 4.066 unidades de diversos elementos de protección personal, previamente seleccionados cuidadosamente con base en nuestra matriz actualizada de peligros y riesgos. Igualmente se garantizó el entrenamiento para su uso, el recambio y la re - dotación para el caso de los EPP tipo desechables, cuya rotación es alta.. 
Contrato Asociado:  No. 000159 de 2020
</t>
  </si>
  <si>
    <t>ACCIÓN ESTRATEGICA No 5.2.1.6. Garantizar, conforme a la matriz de peligros y riesgos de la CRA la realización de estudios que contengan las mediciones ambientales de iluminación, ruido, agentes biológicos, químicos y demás establecidos en dicha matriz</t>
  </si>
  <si>
    <t xml:space="preserve">No. de estudios realizados </t>
  </si>
  <si>
    <t>ACCIÓN ESTRATEGICA No 5.2.1.7. Garantizar la capacitación de trabajo en alturas a funcionarios y contratistas de la Corporación para la mejora de la gestión del riesgo de seguridad y salud</t>
  </si>
  <si>
    <t>No. de capacitaciones realizadas</t>
  </si>
  <si>
    <t>No. De Capacitaciones</t>
  </si>
  <si>
    <t xml:space="preserve">Se desarrolló la formación en trabajo en alturas para el trabajador temporal que tiene dentro de sus labores el riesgo de trabajo a más de un metro cincuenta centímetros. </t>
  </si>
  <si>
    <t>PROYECTO No 5.2.2. PLAN ESTRATÉGICO DE SEGURIDAD VIAL (PESV)</t>
  </si>
  <si>
    <t>ACCIÓN ESTRATEGICA No 5.2.2.1. Garantizar el mantenimiento, continuidad y mejora del Plan Estratégico de Seguridad vial de la CRA (Resolución 1565 de 2014, Resolución 1231 de 2016 y Decreto 2106 de 2019, Resolución 0312 de 2019. Decreto 1079 de 2015.)</t>
  </si>
  <si>
    <t xml:space="preserve">No. de informes con resultado proyectado </t>
  </si>
  <si>
    <t xml:space="preserve">Se logró de manera sobresaliente, obtener la ratificación del cumplimiento de los requisitos del plan estratégico de seguridad vial PESV exigido por el Gobierno Nacional, mediante auditoria realizada por la secretaria de Distrital de Tránsito y Seguridad vial de la Alcaldía de Barranquilla, obteniendo calificación de 99.1 de 100 puntos posibles. Con lo cual se garantizó el fortalecimiento del PESV de la Entidad y la cultura de seguridad vial de la familia CRA.
</t>
  </si>
  <si>
    <t>PROGRAMA No 5.3. TECNOLOGÍA (TECNOLOGIA DE PUNTA PARA LA AUTORIDAD AMBIENTAL)</t>
  </si>
  <si>
    <t>PROYECTO No 5.3.1. ESTRATEGIA Y GOBIERNO TI</t>
  </si>
  <si>
    <t>ACCIÓN ESTRATEGICA No 5.3.1.1. Formular el Plan estratégico de Tecnologías de Información PETI 2020-2023.  
Formulación de la Política de Gobierno Digital y el Marco de Referencia de Arquitectura Empresarial</t>
  </si>
  <si>
    <t xml:space="preserve">No. de Planes Formulados </t>
  </si>
  <si>
    <t>No. De Plan</t>
  </si>
  <si>
    <t>ACCIÓN ESTRATEGICA No 5.3.1.2. Garantizar la divulgación y ejecución del Plan de Comunicaciones del PETI</t>
  </si>
  <si>
    <t>Porcentaje de divulgación y ejecución</t>
  </si>
  <si>
    <t>ACCIÓN ESTRATEGICA No 5.3.1.3. Diseñar e implementar un sistema de gestión de seguridad de la información basado en la norma ISO 27001</t>
  </si>
  <si>
    <t>Sistema de gestión implementado</t>
  </si>
  <si>
    <t>PROYECTO No 5.3.2. SERVICIOS TECNOLÓGICOS</t>
  </si>
  <si>
    <t xml:space="preserve">ACCIÓN ESTRATEGICA No 5.3.2.1. Adquirir, mantener y dar soporte a los equipos de cómputo, periféricos y sistema eléctricos de respaldo a las labores de la Entidad </t>
  </si>
  <si>
    <t xml:space="preserve">Porcentaje de equipos reemplazados y mantenidos </t>
  </si>
  <si>
    <t xml:space="preserve">Se cumplió la meta, logrando el reemplazo del 50% de los equipos de cómputo obsoletos y 100% de mantenimiento y soporte de los equipos, periféricos y sistemas eléctricos funcionales (ver detalles en informe de gestión)
</t>
  </si>
  <si>
    <t xml:space="preserve">ACCIÓN ESTRATEGICA No 5.3.2.2. Implementar servicios de voz, datos corporativos y servidores virtualizados en la entidad </t>
  </si>
  <si>
    <t xml:space="preserve">Porcentaje de implementación de servicios tecnológicos </t>
  </si>
  <si>
    <t>Ver relación especifica en informe de gestión.</t>
  </si>
  <si>
    <t xml:space="preserve">ACCIÓN ESTRATEGICA No 5.3.2.3. Actualizar el software de base de la Corporación </t>
  </si>
  <si>
    <t xml:space="preserve">Porcentaje de actualización de software </t>
  </si>
  <si>
    <t>A través del contrato 313 de 2020 cuyo objeto fue “Adquisición y renovación de licenciamiento de software base y de aplicación, para la vigencia 2020, de acuerdo a las especificaciones técnicas descritas en anexo técnico adjunto, incluye servicios complementarios; de mantenimiento de data center y de soporte técnico especializado en sitio.”</t>
  </si>
  <si>
    <t>ACCIÓN ESTRATEGICA No 5.3.2.4. Implementar servicios tecnológicos que dinamicen la realización de actividades internas y externas de la entidad</t>
  </si>
  <si>
    <t>número de servicios  tecnológicos implementados </t>
  </si>
  <si>
    <t>No. De Servicios</t>
  </si>
  <si>
    <t>Las actividades desarrolladas en la vigencia 2020 contribuyeron al cumplimiento de la meta programada de Un (1) servicio tecnológico implementado para las actividades internas y externas de la entidad; sin embargo es preciso destacar que dadas las condiciones actuales de pandemia se implemantaron un mayor número de servicios tecnológicos. (ver informe de gestión)</t>
  </si>
  <si>
    <t>PROGRAMA No 5.4. COMUNICACIONES (FORTALECIMIENTO DE LA PRESENCIA INSTITUCIONAL EN MEDIOS DE COMUNICACIÓN)</t>
  </si>
  <si>
    <t>PROYECTO No 5.4.1. FORTALECIMIENTO DE LA IMAGEN INSTITUCIONAL</t>
  </si>
  <si>
    <t>ACCIÓN ESTRATEGICA No 5.4.1.1. Diseñar e implementar estrategias  de comunicación para fortalecer la imagen institucional de la CRA</t>
  </si>
  <si>
    <t>No. Estrategias de Comunicación para el fortalecimiento de la imagen institucional</t>
  </si>
  <si>
    <t xml:space="preserve">1. Estrategia de Divulgación y Visibilización de acciones institucionales.
2. Estrategia de Crecimiento en Redes Sociales.
3. Estrategia de Promoción de Imagen institucional.
4. Estrategia de Engagement (Marketing Online).
</t>
  </si>
  <si>
    <t>ACCIÓN ESTRATEGICA No 5.4.1.2. Aumentar el número de visitas y seguidores en  canales virtuales de la entidad</t>
  </si>
  <si>
    <t>Porcentaje de  nuevos seguidores en canales virtuales</t>
  </si>
  <si>
    <t>Contrato No. 000190 de 2020
Contrato No. 00088 de 2020 (Agencia Dávila)
Ver detalle en informe de gestión.</t>
  </si>
  <si>
    <t>ACCIÓN ESTRATEGICA No 5.4.1.3. Realizar campañas institucionales en medios de comunicación tradicionales y nuevas tecnologías</t>
  </si>
  <si>
    <t>No. de campañas institucionales impulsadas</t>
  </si>
  <si>
    <t>a diciembre 31 del 2020 se desarrollaron dieciséis (16) campañas institucionales (superando el 100% de la meta establecida), en los siguientes medios de comunicación tradicionales y redes sociales</t>
  </si>
  <si>
    <t>ACCIÓN ESTRATEGICA No 5.4.1.4. Promover la participacion de la comunidad en las actividades de la corporación.</t>
  </si>
  <si>
    <t>No. de interacciones con la comunidad a través de redes sociales</t>
  </si>
  <si>
    <t>No. De Interacciones</t>
  </si>
  <si>
    <t>Las campañas institucionales y estrategias implementadas en las redes sociales han permitido que, durante el año 2020, se haya logrado un incremento importante en el número de interacciones programadas para la vigencia, llegando a registrar 37.341 interacciones de los usuarios de éstas al 31 de diciembre de la presente anualidad</t>
  </si>
  <si>
    <t>PROGRAMA No 5.5. BANCO DE PROYECTOS (CREATIVIDAD PARA LA EJECUCION DE PROYECTOS AMBIENTALES)</t>
  </si>
  <si>
    <t xml:space="preserve">PROYECTO No 5.5.1. FORTALECIMIENTO DEL BANCO DE PROYECTOS </t>
  </si>
  <si>
    <t>ACCIÓN ESTRATEGICA No 5.5.1.1. Gestionar recursos externos nacionales e internacionales  a partir de la formulación y ejecución de proyectos ambientales</t>
  </si>
  <si>
    <t xml:space="preserve">Número de proyectos con financiación nacional o internacional </t>
  </si>
  <si>
    <t>ACCIÓN ESTRATEGICA No 5.5.1.2. Apoyar la formulación, radicación y evaluación de proyectos ambientales radicados en la entidad.</t>
  </si>
  <si>
    <t>Porcentaje de proyectos revisados con relación a los radicados</t>
  </si>
  <si>
    <t>Se radicaron 12 proyectos ambientales en la base de datos del Banco de Proyectos, de los cuales, a la fecha de reporte del presente informe de gestión, cuatro (4) tienen concepto de evaluación técnica, financiera y ambiental como VIABLE, y los ocho (8) restantes se encuentran en proceso de revisión y /o evaluación por parte del equipo interdisciplinario de profesionales de apoyo al Banco de Proyecto.</t>
  </si>
  <si>
    <t xml:space="preserve">ACCIÓN ESTRATEGICA No 5.5.1.3.  Adoptar herramientas para el seguimiento de los Instrumentos de Planeación y Administración de  proyectos en la entidad </t>
  </si>
  <si>
    <t xml:space="preserve">Número de herramientas desarrolladas para seguimiento </t>
  </si>
  <si>
    <t>No. De Herreamientas</t>
  </si>
  <si>
    <t xml:space="preserve">PROGRAMA No 5.6. SISTEMAS DE INFORMACIÓN AMBIENTAL </t>
  </si>
  <si>
    <t>PROYECTO No 5.6.1. GESTIÓN DE LA INFORMACIÓN</t>
  </si>
  <si>
    <t>ACCIÓN ESTRATEGICA No 5.6.1.1. Renovar y licenciar el Software para el desarrollo de las actividades misionales y administrativas de la entidad.</t>
  </si>
  <si>
    <t xml:space="preserve"> % de Renovación y Licenciamiento de Software</t>
  </si>
  <si>
    <t xml:space="preserve">A 30 de diciembre de 2020 se realizó la actualización del licenciamiento del software institucional:
1. PCT. 
2. Nómina.
3. Win Isis.
4. GEONODO.
</t>
  </si>
  <si>
    <t>ACCIÓN ESTRATEGICA No 5.6.1.2. Mantener la pagina web, intranet y subportales de la Entidad</t>
  </si>
  <si>
    <t xml:space="preserve">% de mantenimiento </t>
  </si>
  <si>
    <t>Para ello, contamos con personal idóneo y especializado en temas de desarrollo web. La pagina web de la entidad fue actualizada y mejorada visualmente, para que nuestros usuarios tengan una nueva y renovada imagen institucional.Contrato asociado al cumplimiento de la meta: No. 073 del 11 de febrero de 2020</t>
  </si>
  <si>
    <t xml:space="preserve">ACCIÓN ESTRATEGICA No 5.6.1.3. Implementar Software de soporte para la Oficina Jurídica </t>
  </si>
  <si>
    <t>(Numero de software adquiridos y/o desarrollados / Numero de software necesario para la gestión institucional)*100))</t>
  </si>
  <si>
    <t>No. De Sofware</t>
  </si>
  <si>
    <t xml:space="preserve">ACCIÓN ESTRATEGICA No 5.6.1.4. Implementar Software de soporte para PQRS </t>
  </si>
  <si>
    <t>ACCIÓN ESTRATEGICA No 5.6.1.5. Formular e Implementar la Política de Seguridad y Manejo de la Informacion y  el Marco de Interoperabilidad</t>
  </si>
  <si>
    <t>Documento de Política Formulado e implementado</t>
  </si>
  <si>
    <t>PROYECTO No 5.6.2. SISTEMAS DE INFORMACIÓN AMBIENTAL (SIAC)</t>
  </si>
  <si>
    <t>ACCIÓN ESTRATEGICA No 5.6.2.1. Implementar, mantener y mejorar estrategias para la consolidacion del sistema de informacion geografico ambiental y su articulacion con las diferentes entidades del SINA.</t>
  </si>
  <si>
    <t xml:space="preserve">% de implementación y mantenimiento de la herramienta </t>
  </si>
  <si>
    <t>Este proyecto se encuentra en la fase de implementación y con el 100% de la información cartográfica que la Corporación posee cargada en el GEONODO, próximamente nuestros usuarios deberán realizar las consultas dentro de la aplicación, la cual ya se encuentra estructurada de manera robusta pero de fácil acceso y generación de información requerida por temáticas.</t>
  </si>
  <si>
    <t>ACCIÓN ESTRATEGICA No 5.6.2.2. Dar cumplimiento a la normatividad vigente en materia de Mantenimiento y operación de los subsistemas de SIAC a través de la  entrega de información ambiental en: VITAL, RESPEL, RUA, PCBS, SISAIRE, SNIF, SIRH, SIB, SIAM, SMBYC, SIPGA CAR, SINAP-RUNAP, SIUR</t>
  </si>
  <si>
    <t>Porcentaje de actualización y reporte de la información en el SIAC (Resolución 667 de 2016)</t>
  </si>
  <si>
    <t xml:space="preserve">Ver tabla en el informe de gestión </t>
  </si>
  <si>
    <t xml:space="preserve">PROGRAMA No 5.7. SISTEMAS DE GESTIÓN INTEGRADOS </t>
  </si>
  <si>
    <t>PROYECTO No 5.7.1. SISTEMA DE GESTIÓN DE CALIDAD, AMBIENTAL Y SEGURIDAD Y SALUD EN EL TRABAJO.</t>
  </si>
  <si>
    <t xml:space="preserve">ACCIÓN ESTRATEGICA No 5.7.1.1. Realizar ciclos de auditoría interna de conformidad con la metodología vigente </t>
  </si>
  <si>
    <t>Numero de Auditorias internas realizadas al sistema de gestión integrado</t>
  </si>
  <si>
    <t>No. De Auditorias</t>
  </si>
  <si>
    <t>Cumplimos la meta de realizar una (1) auditoría interna, la cual se realizó entre los meses de septiembre y octubre; así pues.  Durante el ciclo de auditoría interna realizado a los 15 procesos de la entidad, se verificó el cumplimiento de requisitos al sistema de gestión de la calidad basados en la Norma ISO 9001:2015.</t>
  </si>
  <si>
    <t xml:space="preserve">ACCIÓN ESTRATEGICA No 5.7.1.2. Mantener la certificación del sistema de gestión de la calidad según NTC ISO 9001:2015 </t>
  </si>
  <si>
    <t xml:space="preserve"> Número de Sistemas de Gestión certificados y mantenidos</t>
  </si>
  <si>
    <t>Durante el mes de noviembre se llevó a cabo la auditoria externa a la entidad por parte del ente certificador ICONTEC, el cual ratifica para el 2020 el cumplimiento de los requisitos al sistema bajo la norma ISO 9001:2015.</t>
  </si>
  <si>
    <t>ACCIÓN ESTRATEGICA No 5.7.1.3. Implementar un sistema de seguridad y salud en el trabajo, según norma NTC 45001:2015</t>
  </si>
  <si>
    <t>No. de sistemas implementados  según NTC 45001:2018 (Sistema de Gestión de la Seguridad y Salud en el Trabajo)</t>
  </si>
  <si>
    <t>ACCIÓN ESTRATEGICA No 5.7.1.4. Implementar un sistema de gestión ambiental según la norma NTC ISO 14001:2015</t>
  </si>
  <si>
    <t>No. de sistemas implementados egún NTC ISO 14001:2015 (Sistema de Gestión Ambiental )</t>
  </si>
  <si>
    <t>PROYECTO No 5.7.2. NTC 17025</t>
  </si>
  <si>
    <t>ACCIÓN ESTRATEGICA No 5.7.2.1. Implementar una norma para la calibración de equipos según  ISO 17025: 2017 (Ensayo y Calibración)</t>
  </si>
  <si>
    <t xml:space="preserve">Norma ISO Implementada </t>
  </si>
  <si>
    <t>No. De Normas</t>
  </si>
  <si>
    <t>PROYECTO No 5.7.3. MIPG</t>
  </si>
  <si>
    <t>ACCIÓN ESTRATEGICA No 5.7.3.1. Implementar un modelo integrado de planeación y gestión, de conformidad con el Decreto 1499/17</t>
  </si>
  <si>
    <t xml:space="preserve">No. de modelos implementados </t>
  </si>
  <si>
    <t>No. De Modelos</t>
  </si>
  <si>
    <t xml:space="preserve">PROGRAMA No 5.8. GESTIÓN DOCUMENTAL Y ARCHIVO </t>
  </si>
  <si>
    <t>PROYECTO No 5.8.1. SGD</t>
  </si>
  <si>
    <t xml:space="preserve">ACCIÓN ESTRATEGICA No 5.8.1.1. Disponer de un Archivo Central en condiciones de funcionamiento adecuadas </t>
  </si>
  <si>
    <t>Porcentaje de Documentos custodiados (correspondientes al archivo central)</t>
  </si>
  <si>
    <t>El cual corresponde al proceso de  Selección abreviada de menor cuantía N°005 de 2020 cuyo Objeto es: Prestación del Servicio de Almacenamiento, Conservación, Custodia, Préstamo, y Transporte de los Acervos Documentales de la Corporación Autónoma Regional del Atlántico C.R.A, Según las Necesidades y En Cumplimiento de La Ley 594 De 2000, el Acuerdo 008 de 2014 y Demás Normas Reglamentarias”</t>
  </si>
  <si>
    <t>ACCIÓN ESTRATEGICA No 5.8.1.2. Adelantar procesos de digitalización de información sensible y de importancia en la entidad</t>
  </si>
  <si>
    <t xml:space="preserve">Porcentaje de documentos digitalizados (correspondientes a áreas misionales y estratégicas) </t>
  </si>
  <si>
    <t>Se elaboraron los estudios previos, se recibieron 2 cotizaciones</t>
  </si>
  <si>
    <t>ACCIÓN ESTRATEGICA No 5.8.1.3. Elaborar instrumentos archivísticos y de gestión de la información para la planificación de la gestión documental</t>
  </si>
  <si>
    <t>Número de Instrumentos archivísticos creados.</t>
  </si>
  <si>
    <t>No. De Archivos</t>
  </si>
  <si>
    <t>ACCIÓN ESTRATEGICA No  5.8.1.4. Revisar y Actualizar los instrumentos archivísticos y de gestión de la información que existen en la entidad</t>
  </si>
  <si>
    <t>Número de Instrumentos archivísticos actualizados.</t>
  </si>
  <si>
    <t xml:space="preserve">Actualizando incluso un número superior de instrumentos archivísticos; es decir, la meta contemplaba actualizar tres (3) instrumentos; sin embargo, se actualizaron 5, que se relacionan a continuación:
1. Cuadro de Clasificación Documental-CCD
2. Tablas de Retención Documental- TRD
3. Política de Gestión Documental
4. Programa de Gestión Documental-PGD
5. Plan institucional de Archivos-PINAR
</t>
  </si>
  <si>
    <t>ACCIÓN ESTRATEGICA No 5.8.1.5. Garantizar el cumplimiento de la normatividad de la gestión documental en cada uno de los archivos de gestión de la entidad</t>
  </si>
  <si>
    <t>Número de Archivos Gestionados.</t>
  </si>
  <si>
    <t>En cumplimiento de ésta, se prestó apoyo en 2; el archivo de la  Subdirección de Gestión Ambiental y una parte en el apoyo de Secretaria General, específicamente en las necesidades del archivo central.</t>
  </si>
  <si>
    <t>ACCIÓN ESTRATEGICA No 5.8.1.6. Fomentar el saneamiento de expedientes</t>
  </si>
  <si>
    <t>% de expedientes con saneamiento</t>
  </si>
  <si>
    <t>Actualmente se cuenta con de 1282 cajas que contienen alrededor de 7500 carpetas que conforman los expedientes de la información desarrollada y acumulada del inicio, control y seguimiento de los trámites adelantados ante la entidad. Para esta fecha la Corporación cuenta con 42 asuntos (Licencias, concesiones, permisos, autorizaciones y otros trámites ante la autoridad ambiental) establecidos según la normatividad vigente.</t>
  </si>
  <si>
    <t>PROGRAMA No 5.9. SOPORTE JURIDICO (UNA ENTIDAD QUE CUIDA SUS RECURSOS)</t>
  </si>
  <si>
    <t>PROYECTO No 5.9.1. DEFENSA JURÍDICA</t>
  </si>
  <si>
    <t>ACCIÓN ESTRATEGICA No 5.9.1.1. Atender los trámites jurídico procesales de la Entidad.</t>
  </si>
  <si>
    <t>Porcentaje de atención de  trámites procesales</t>
  </si>
  <si>
    <t xml:space="preserve">Los trámites jurídicos presentados se atendieron en su totalidad, dandole el impuso correspondiente, lo cual nos permite indicar que se cumplimos con la atención del 100% de las acciones judiciales presentadas. 
Cada una de las actuaciones o tramites procesales son registradas en la base de datos que lleva la oficina juridica, de la cual se anexan los registros efectuados de enero a diciembre de 2020,  durante la presente vigencia se atendieron treinta y nueve (39) procesos.
</t>
  </si>
  <si>
    <t>ACCIÓN ESTRATEGICA No 5.9.1.2. Formular e implementar la política de prevención del daño antijurídico.</t>
  </si>
  <si>
    <t>Implementación y Formulación de las políticas de prevención de daño antijurídico.</t>
  </si>
  <si>
    <t>No. De implementación</t>
  </si>
  <si>
    <t>Mediante Oficio Radicado CRA No. 1537 del 24 de junio del 2020, se remitió a la ANDJE el aplicativo de formulación de las políticas de prevención de daño antijuridico, con fecha 28 de julio del 2020 se nos envía mediante correo institucional la aprobación por parte de la ANDJE del aplicativo para la formulación, implementación y seguimiento de la Política de Prevención de Daño Antijurídico. Con esto se cumple con la meta programada para la vigencia, ( 50%).</t>
  </si>
  <si>
    <t>PROYECTO No 5.9.2. PQRS</t>
  </si>
  <si>
    <t>ACCIÓN ESTRATEGICA No 5.9.2.1. Atender las PQRS radicadas en la Entidad.</t>
  </si>
  <si>
    <t>Porcentaje de Atención de las PQRS</t>
  </si>
  <si>
    <t xml:space="preserve">Cantidad de peticiones asignadas VS cantidad de peticiones resueltas. 
1. Cantidad de Peticiones Asignadas: 1343
2. Cantidad de Peticiones Resueltas: 1179
3. Porcentaje promedio de atención: 87,78%
</t>
  </si>
  <si>
    <t>PROYECTO No 5.9.3. CONTRATACIÓN ESTATAL</t>
  </si>
  <si>
    <t xml:space="preserve">ACCIÓN ESTRATEGICA No 5.9.3.1. Atender los trámites procesales contractuales requeridos por la Dirección de la Entidad </t>
  </si>
  <si>
    <t>Porcentaje de Atención a las necesidades contractuales de cada dependencia.</t>
  </si>
  <si>
    <t>Fueron atendidos y tramitados los 367 procesos contractuales requeridos por la Dirección General de la entidad.</t>
  </si>
  <si>
    <t>PROGRAMA No 5.10. GESTIÓN DE INFRAESTRUCTURA (CONDICIONES ADECUADAS PARA PRESTAR UN MEJOR SERVICIO)</t>
  </si>
  <si>
    <t>PROYECTO No 5.10.1. EFICIENCIA ENERGÉTICA</t>
  </si>
  <si>
    <t>ACCIÓN ESTRATEGICA No 5.10.1.1. Realizar auditorías energéticas a la CRA para desarrollar un programas de eficiencia energética</t>
  </si>
  <si>
    <t>Numero de auditorias realizadas</t>
  </si>
  <si>
    <t>PROYECTO No 5.10.2. MANTENIMIENTO Y ADQUISICIÓN DE NUEVOS ELEMENTOS</t>
  </si>
  <si>
    <t xml:space="preserve">ACCIÓN ESTRATEGICA No 5.10.2.1. Garantizar la funcionalidad de la infraestructura de la Entidad a partir de su mantenimiento preventivo o reposición </t>
  </si>
  <si>
    <t xml:space="preserve">100% de mantenimiento a infraestructura </t>
  </si>
  <si>
    <t>Se ha realizado un avance general del 78% del total del programa de  los mantenimientos que nos hemos propuestos realizar.
Lo anterior lo podemos se puede evidenciar con la relación de contratos que se encuentran en el informe de gestión.</t>
  </si>
  <si>
    <t>ACCIÓN ESTRATEGICA No 5.10.2.2. Garantizar el mantenimiento y adecuación  (bienes inmuebles) de la sede principal y otras sedes de la corporación</t>
  </si>
  <si>
    <t xml:space="preserve">100% de mantenimiento a inmuebles </t>
  </si>
  <si>
    <t xml:space="preserve">Para el cumplimiento de esta meta se llevó a cabo la ejecución del contrato con la empresa DR. HOUSE, Contrato No. 00442 de 2019, por medio del cual se realizaron obras de mantenimiento preventivo y mejoras de las Sedes Administrativas No. 1 y No. 2, con un avance de cumplimiento del 93%. </t>
  </si>
  <si>
    <t>ACCIÓN ESTRATEGICA No 5.10.2.3. Disponer de vehículos para las áreas misionales y administrativas de la entidad.</t>
  </si>
  <si>
    <t>Número de  vehículos disponibles  para las áreas estratégicas, misionales y de apoyo en la entidad.</t>
  </si>
  <si>
    <t>No. De Vehiculos</t>
  </si>
  <si>
    <t>PROGRAMA DEFICIT DE VIGENCIAS ANTERIORES (Anexo: informe de gastos)</t>
  </si>
  <si>
    <t>El valor registrado no tiene programación ni ejecución de meta fisica, teniendo en cuenta que corresponde a deficit de vigencia anteriores</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</si>
  <si>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</si>
  <si>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</si>
  <si>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</si>
  <si>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</si>
  <si>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</si>
  <si>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</si>
  <si>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</si>
  <si>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</si>
  <si>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</si>
  <si>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</si>
  <si>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</si>
  <si>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</si>
  <si>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</si>
  <si>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</si>
  <si>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</si>
  <si>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</si>
  <si>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</si>
  <si>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</si>
  <si>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</si>
  <si>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</si>
  <si>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</si>
  <si>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</si>
  <si>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</si>
  <si>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</si>
  <si>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</si>
  <si>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</si>
  <si>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</si>
  <si>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</si>
  <si>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</si>
  <si>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</si>
  <si>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</si>
  <si>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</si>
  <si>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</si>
  <si>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</si>
  <si>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</si>
  <si>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</si>
  <si>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</si>
  <si>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</si>
  <si>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</si>
  <si>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ANEXO No. 2.PROTOCOLO O GUÍA DE DILIGENCIAMIENTO</t>
  </si>
  <si>
    <t xml:space="preserve">MATRIZ DE SEGUIMIENTO A LA GESTIÓN Y DE AVANCE EN LAS METAS FÍSICAS Y FINANCIERAS DEL PLAN DE ACCIÓN </t>
  </si>
  <si>
    <t xml:space="preserve">ITEM </t>
  </si>
  <si>
    <t>DEFINICIONES</t>
  </si>
  <si>
    <t xml:space="preserve">(1) PROGRAMAS - PROYECTOS  DEL Plan de Acción 2020-2023 </t>
  </si>
  <si>
    <t>Enuncie el nombre del total de los programas y proyectos aprobados en el Plan de Acción, utilizando la misma estructura jerárquica del Plan.  Se plantea una estructura inicial de Programas con proyectos relacionados, no obstante esta estructura es solo indicativa. Inserte filas cuando sea necesario ingresar mas programas y proyectos.  Recuerde que jerárquicamente los programas están integrados por proyectos y estos por actividades y la matriz pretende conocer hasta la escala de proyectos.</t>
  </si>
  <si>
    <t>(2) UNIDAD DE MEDIDA</t>
  </si>
  <si>
    <t>Relacione la unidad de medida por medio de la cual se determina la meta y el avance de la meta física, ejemplo hectáreas reforestadas, hectáreas con POMCA, PGIRS Apoyados, etc.  Generalice una unidad de medida por cada proyecto, para el caso de programa no es necesario definir la unidad de medida.</t>
  </si>
  <si>
    <t>(3) META FÍSICA ANUAL</t>
  </si>
  <si>
    <t>Identifique el valor de la meta anual programada para el año que se este evaluando, con relación al programa o proyecto reportado en la columna (1). Ejemplo: hectáreas reforestadas, microcuencas con plan de ordenamiento formulado, # de vertimientos reglamentados, etc.</t>
  </si>
  <si>
    <t>(4) AVANCE DE LA META FISICA  (Según unidad de medida y Periodo Evaluado)</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</si>
  <si>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</si>
  <si>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</si>
  <si>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Calcule el porcentaje del avance anual de la Meta física programada. Divida el valor de la columna  (4) con el valor de la columna (3) y multiplique por 100. Para el caso, cuando el resultado del avance de una meta física de un programa o proyecto se reporte como el promedio ponderado o aritmético de las metas de los proyectos relacionados con dicho programa o proyecto, es importante indicar esta condición en la columna 10.   Si no se presenta avance en el programa o proyecto, se deberá diligenciar la matriz con ceros (0,0) y en ningún caso dejar celdas en blanco.</t>
  </si>
  <si>
    <t xml:space="preserve">(5-A) DESCRIPCIÓN DEL AVANCE </t>
  </si>
  <si>
    <t>En esta columna se puede describir en texto lo que se desea justificar, describir y aclarar del avance del programa, proyecto, actividad.</t>
  </si>
  <si>
    <t>(6) PORCENTAJE DE AVANCE PROCESO DE GESTION DE LA META FISICA (aplica unicamente para el informe del primer semestre)</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</si>
  <si>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</si>
  <si>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(7) META FÍSICA DEL PLAN</t>
  </si>
  <si>
    <t>Identifique el valor  (en numero) de la meta del plan de acción con relación al programa y/o proyecto reportado en la columna (1). Ejemplo: hectáreas reforestadas, microcuencas con plan de ordenamiento formulado, # de vertimientos reglamentados, etc.</t>
  </si>
  <si>
    <t>(8) ACUMULADO DE LA META FISICA</t>
  </si>
  <si>
    <t>Reporte el avance acumulado de la meta física que se obtenga desde la aprobación del Plan de Acción, incluyendo el periodo evaluado.  Ejemplo 100 Ha reforestadas (2020), más 140 Ha reforestadas (2021), para un acumulado de 240 Ha (2020+2021)</t>
  </si>
  <si>
    <t>(9) PORCENTAJE DE AVANCE FISICO ACUMULADO</t>
  </si>
  <si>
    <t>Calcule el porcentaje del avance de la Meta física acumulada. Divida el valor de la columna  (8) con el valor de la columna (7) y multiplique por 100.</t>
  </si>
  <si>
    <t>(10) PONDERACIONES DE PROGRAMAS (OPCIONAL DE ACUERDO AL Plan de Acción)</t>
  </si>
  <si>
    <t>Si el Plan de Acción contempla ponderaciones de programas o proyectos, relacione aquí las ponderaciones o pesos dados a cada programa, de acuerdo al porcentaje o valor asignado.</t>
  </si>
  <si>
    <t>(11) META FINANCIERA ANUAL</t>
  </si>
  <si>
    <t xml:space="preserve">Relacione aquí de acuerdo al plan de inversión vigente (incluye adiciones o modificaciones) los montos de inversión anual previstos para cada programa o proyecto </t>
  </si>
  <si>
    <t>(12) AVANCE DE LA META FINANCIERA PROGRAMADA (Periodo Evaluado)</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</si>
  <si>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</si>
  <si>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(13)  PORCENTAJE DE AVANCE FINANCIERO (Periodo evaluado)</t>
  </si>
  <si>
    <t xml:space="preserve">Calcule el porcentaje del avance anual de la Meta financiera programada. Divida el valor de la columna  (12) con el valor de la columna (11) y multiplique por 100. </t>
  </si>
  <si>
    <t>(14) META FINANCIERA DEL PLAN</t>
  </si>
  <si>
    <t>Relacione aquí de acuerdo al plan de inversión del Plan de Acción  los montos de inversión previstos para cada programa o proyecto para los cuatro años. (incluye adiciones o modificaciones).</t>
  </si>
  <si>
    <t xml:space="preserve">(15) AVANCE ACUMULADO DE LA META FINANCIERA </t>
  </si>
  <si>
    <t>Reporte el avance acumulado en la vigencia del Plan de Acción, desde su aprobación hasta el periodo del informe.  Ejemplo $100'000.000.oo (2020) + $150'000.000.oo (2021), da un acumulado de inversión del Plan de Acción de $250'000.000.oo</t>
  </si>
  <si>
    <t>(16) PORCENTAJE DE AVANCE FINANCIERO ACUMULADO %</t>
  </si>
  <si>
    <t>Calcule el porcentaje del avance acumulado de la Meta financiera programada en el Plan de Acción. Divida el valor de la columna  (15) con el valor de la columna (14) y multiplique por 100.</t>
  </si>
  <si>
    <t>(17) OBSERVACIONES</t>
  </si>
  <si>
    <t>Realice las respectivas observaciones que sean necesarias, principalmente cuando se requiera hacer alguna precisión sobre el avance de las metas físicas y financieras..</t>
  </si>
  <si>
    <t>(18) TOTAL DE  METAS  FISICAS Y FINANCIERAS</t>
  </si>
  <si>
    <t>Sume los recursos de las metas financieras del plan, anual y de avance del periodo para cada proyecto, en las columnas respectivas (11, 12, 14 y 15). Es importante cuidarse de no sumar subtotales de los programas con las metas financieras de los proyectos, para evitar  sumas dobles de un mismo proyecto. 
Calcule el % de avance total de los programas mediante el promedio de cada uno de los porcentajes de avance de los programas. Es importante recordar que no es aplicable para metas financieras realizar ponderaciones.
Para el caso de las metas físicas, se deben totalizar las columnas  5 y 9, calculando el promedio de los porcentajes de avance de cada programa, es decir, el porcentaje de avance de las metas físicas del Plan de Acción en el periodo evaluado y el acumulado, así: sume el porcentaje de avance de cada programa y dividalo en el número de programas, con los datos respectivos, en las columnas 5 y 9  (Si es el caso, tenga en cuenta las ponderaciones que estén estipuladas en el Plan de Acción, las cuales debe quedar registradas en la columna 10).</t>
  </si>
  <si>
    <t xml:space="preserve"> INFORME DE EJECUCION PRESUPUESTAL DE INGRESOS </t>
  </si>
  <si>
    <t>CORPORACIÓN AUTÓMA REGIONAL DE ATLANTICO</t>
  </si>
  <si>
    <t>RECURSOS VIGENCIA :   2020</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</si>
  <si>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</si>
  <si>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</si>
  <si>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</si>
  <si>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</si>
  <si>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</si>
  <si>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</si>
  <si>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</si>
  <si>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</si>
  <si>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</si>
  <si>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</si>
  <si>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</si>
  <si>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</si>
  <si>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</si>
  <si>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</si>
  <si>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</si>
  <si>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</si>
  <si>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</si>
  <si>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</si>
  <si>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</si>
  <si>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</si>
  <si>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</si>
  <si>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</si>
  <si>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</si>
  <si>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</si>
  <si>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</si>
  <si>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</si>
  <si>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</si>
  <si>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</si>
  <si>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</si>
  <si>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</si>
  <si>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</si>
  <si>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</si>
  <si>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</si>
  <si>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</si>
  <si>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</si>
  <si>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</si>
  <si>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</si>
  <si>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</si>
  <si>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</si>
  <si>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</si>
  <si>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 xml:space="preserve">Sobretasa ambiental </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</si>
  <si>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</si>
  <si>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</si>
  <si>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Porcentaje impuesto predial  -  (vigencia actual)</t>
  </si>
  <si>
    <t>02</t>
  </si>
  <si>
    <t>Porcentaje impuesto predial  -  (vigencia anterior)</t>
  </si>
  <si>
    <t>03</t>
  </si>
  <si>
    <t>Sobretasa ambiental impuesto predial municipios - (Vigencia actual)</t>
  </si>
  <si>
    <t>04</t>
  </si>
  <si>
    <t>Sobretasa ambiental impuesto predial municipios -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</si>
  <si>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</si>
  <si>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</si>
  <si>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</si>
  <si>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</si>
  <si>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</si>
  <si>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</si>
  <si>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</si>
  <si>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</si>
  <si>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</si>
  <si>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</si>
  <si>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</si>
  <si>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</si>
  <si>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</si>
  <si>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</si>
  <si>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</si>
  <si>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</si>
  <si>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</si>
  <si>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</si>
  <si>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</si>
  <si>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</si>
  <si>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</si>
  <si>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</si>
  <si>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</si>
  <si>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</si>
  <si>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</si>
  <si>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</si>
  <si>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</si>
  <si>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</si>
  <si>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</si>
  <si>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</si>
  <si>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</si>
  <si>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</si>
  <si>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</si>
  <si>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</si>
  <si>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</si>
  <si>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</si>
  <si>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</si>
  <si>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</si>
  <si>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</si>
  <si>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</si>
  <si>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</si>
  <si>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</si>
  <si>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</si>
  <si>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</si>
  <si>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</si>
  <si>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</si>
  <si>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</si>
  <si>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</si>
  <si>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</si>
  <si>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05</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</si>
  <si>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</si>
  <si>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</si>
  <si>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</si>
  <si>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</si>
  <si>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</si>
  <si>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</si>
  <si>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</si>
  <si>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</si>
  <si>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</si>
  <si>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</si>
  <si>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</si>
  <si>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</si>
  <si>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</si>
  <si>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</si>
  <si>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</si>
  <si>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</si>
  <si>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</si>
  <si>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</si>
  <si>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</si>
  <si>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</si>
  <si>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</si>
  <si>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</si>
  <si>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06</t>
  </si>
  <si>
    <t>Pruebas de Bombeo y Videos de Pozos</t>
  </si>
  <si>
    <t>Pruebas de Bombeo y Videos de Pozos (vigencia actual)</t>
  </si>
  <si>
    <t>Pruebas de Bombeo y Videos de Pozos (vigencia anterior)</t>
  </si>
  <si>
    <t>07</t>
  </si>
  <si>
    <t>Aprovechamientos por parques</t>
  </si>
  <si>
    <t>Aprovechamientos por parques (vigencia actual)</t>
  </si>
  <si>
    <t>Aprovechamientos por parques (vigencia anterior)</t>
  </si>
  <si>
    <t>08</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</si>
  <si>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</si>
  <si>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</si>
  <si>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</si>
  <si>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</si>
  <si>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</si>
  <si>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</si>
  <si>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</si>
  <si>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</si>
  <si>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</si>
  <si>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</si>
  <si>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</si>
  <si>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</si>
  <si>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</si>
  <si>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</si>
  <si>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Intereses de mora</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</si>
  <si>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</si>
  <si>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</si>
  <si>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Intereses de mora (vigencia actual)</t>
  </si>
  <si>
    <t>Intereses de mora (vigencia anterior)</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</si>
  <si>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</si>
  <si>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</si>
  <si>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</si>
  <si>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</si>
  <si>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</si>
  <si>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</si>
  <si>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</si>
  <si>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</si>
  <si>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</si>
  <si>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</si>
  <si>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</si>
  <si>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</si>
  <si>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</si>
  <si>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</si>
  <si>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</si>
  <si>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</si>
  <si>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</si>
  <si>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</si>
  <si>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</si>
  <si>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</si>
  <si>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</si>
  <si>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</si>
  <si>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</si>
  <si>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</si>
  <si>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</si>
  <si>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</si>
  <si>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</si>
  <si>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</si>
  <si>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</si>
  <si>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</si>
  <si>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</si>
  <si>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Transferencias del sector central Nacional - PGN</t>
  </si>
  <si>
    <t>Agrupación que comprende las transferencias de recursos que reciben las unidades del PGSP y cuyo origen es el sector central Nacional, entendido como el Presupuesto General de Nación.</t>
  </si>
  <si>
    <t xml:space="preserve">Participaciones </t>
  </si>
  <si>
    <t>Son las transferencias que reciben las entidades territoriales por sus derechos de participación en los ingresos tributarios y no tributarios distintos del SGP. incluye transferencias de participaciones en ingresos tributarios y no tributarios (derivados de impuestos, contribuciones, multas y sanciones y derechos económicos por uso de recursos naturales), cuya administración mantiene la Nación u otra entidad territorial, pero tiene la obligación legal de realizar el giro de estos recursos (en su totalidad o un porcentaje) a las entidades territoriales.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</si>
  <si>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</si>
  <si>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</si>
  <si>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</si>
  <si>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</si>
  <si>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</si>
  <si>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</si>
  <si>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</si>
  <si>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</si>
  <si>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</si>
  <si>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</si>
  <si>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</si>
  <si>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</si>
  <si>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</si>
  <si>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</si>
  <si>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Nación</t>
  </si>
  <si>
    <t>Corresponde a los recursos del Presupuesto de la Nación que el gobierno transfiere a las entidades descentralizadas del orden nacional con el objeto de contribuir a la atención de sus compromisos y al cumplimiento de sus funciones.</t>
  </si>
  <si>
    <t>Aportes Nación para Funcionamiento</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</si>
  <si>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</si>
  <si>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</si>
  <si>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</si>
  <si>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</si>
  <si>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</si>
  <si>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</si>
  <si>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</si>
  <si>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de la Nación para Inversión</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</si>
  <si>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</si>
  <si>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</si>
  <si>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</si>
  <si>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</si>
  <si>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</si>
  <si>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</si>
  <si>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</si>
  <si>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</si>
  <si>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</si>
  <si>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</si>
  <si>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</si>
  <si>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</si>
  <si>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</si>
  <si>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</si>
  <si>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</si>
  <si>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</si>
  <si>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</si>
  <si>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</si>
  <si>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</si>
  <si>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</si>
  <si>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</si>
  <si>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</si>
  <si>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</si>
  <si>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</si>
  <si>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</si>
  <si>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</si>
  <si>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</si>
  <si>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</si>
  <si>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Rendimientos financieros de 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</si>
  <si>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</si>
  <si>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Rendimientos financieros de depósitos</t>
  </si>
  <si>
    <t>Son los ingresos por rendimientos financieros de los depósitos que tengan las entidades de gobierno en las entidades vigiladas por la Superintendencia Financiera.</t>
  </si>
  <si>
    <t>Rendimientos financieros de otros depósitos</t>
  </si>
  <si>
    <t>Corresponden a los ingresos por rendimientos financieros de otros depósitos distintos a los de la Cuenta Única Nacional.</t>
  </si>
  <si>
    <t>Rendimientos financieros Ingresos tributarios</t>
  </si>
  <si>
    <t>Rendimientos financieros Impuestos directos</t>
  </si>
  <si>
    <t>Rendimientos financieros Contribuciones</t>
  </si>
  <si>
    <t>Rendimientos financieros Tasas retributivas y compensatorias</t>
  </si>
  <si>
    <t>Rendimientos financieros Tasa retributiva</t>
  </si>
  <si>
    <t>Rendimientos financierosTasa por el uso del agua</t>
  </si>
  <si>
    <t>Rendimientos financieros Tasa de aprovechamiento Forestal</t>
  </si>
  <si>
    <t>Rendimientos financieros Tasa compensatoria por caza de Fauna Silvestre</t>
  </si>
  <si>
    <t>Rendimientos financieros Otras tasas</t>
  </si>
  <si>
    <t>Rendimientos financiero Multas, sanciones e intereses de mora</t>
  </si>
  <si>
    <t>Rendimientos financiero Venta de bienes y servicios</t>
  </si>
  <si>
    <t>Rendimientos financiero Recursos de crédito externo</t>
  </si>
  <si>
    <t>Rendimientos financiero Recursos de crédito interno</t>
  </si>
  <si>
    <t>Rendimientos financieros Compensaciones</t>
  </si>
  <si>
    <t>Rendimientos financieros Compensación resguardos indígenas</t>
  </si>
  <si>
    <t>Rendimientos financieros Transferencias de capital</t>
  </si>
  <si>
    <t>Rendimientos financieros Convenios</t>
  </si>
  <si>
    <t>Rendimientos financieros  Convenios con Departamentos</t>
  </si>
  <si>
    <t xml:space="preserve">Rendimientos financieros  Convenios con Municipios </t>
  </si>
  <si>
    <t>Rendimientos financieros  Otros Convenios</t>
  </si>
  <si>
    <t>Rendimientos financieros Transferencias del sector central Nacional - PGN</t>
  </si>
  <si>
    <t>Rendimientos financieros Transferencias del sector descentralizado - Estapublicos Nacionales</t>
  </si>
  <si>
    <t>Rendimientos financieros Transferencias del sector descentralizado - Empresas Nacionales</t>
  </si>
  <si>
    <t>Rendimientos financieros Transferencias del sector central Territorial</t>
  </si>
  <si>
    <t>Rendimientos financieros Transferencias del sector descentralizado - Estapublicos Territoriales</t>
  </si>
  <si>
    <t>Rendimientos financieros Transferencias del sector descentralizado - Empresas Territoriales</t>
  </si>
  <si>
    <t>Rendimientos financieros Transferencias de esquemas asociativos</t>
  </si>
  <si>
    <t>09</t>
  </si>
  <si>
    <t>Rendimientos financieros Transferencias de órganos autónomos e independientes</t>
  </si>
  <si>
    <t>10</t>
  </si>
  <si>
    <t>Rendimientos financieros Transferencias de  privados que administran recursos públicos</t>
  </si>
  <si>
    <t>11</t>
  </si>
  <si>
    <t>Rendimientos financieros Indemnizaciones relacionadas con seguros no de vida</t>
  </si>
  <si>
    <t>12</t>
  </si>
  <si>
    <t>Rendimientos financieros Donaciones</t>
  </si>
  <si>
    <t>Rendimientos financieros de 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</si>
  <si>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</si>
  <si>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Rendimientos financieros Intereses por préstamos</t>
  </si>
  <si>
    <t>Corresponde a los ingresos por el concepto de intereses de fondos en préstamos que tienen las entidades de gobierno. Los intereses son una forma de renta de inversión cobradas por el acreedor del préstamo.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</si>
  <si>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</si>
  <si>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</si>
  <si>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</si>
  <si>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</si>
  <si>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</si>
  <si>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</si>
  <si>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</si>
  <si>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</si>
  <si>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</si>
  <si>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</si>
  <si>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</si>
  <si>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</si>
  <si>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</si>
  <si>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</si>
  <si>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</si>
  <si>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</si>
  <si>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</si>
  <si>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</si>
  <si>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</si>
  <si>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</si>
  <si>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</si>
  <si>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</si>
  <si>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</si>
  <si>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</si>
  <si>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</si>
  <si>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</si>
  <si>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</si>
  <si>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</si>
  <si>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</si>
  <si>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</si>
  <si>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</si>
  <si>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</si>
  <si>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</si>
  <si>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</si>
  <si>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</si>
  <si>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</si>
  <si>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</si>
  <si>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</si>
  <si>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</si>
  <si>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</si>
  <si>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</si>
  <si>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</si>
  <si>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</si>
  <si>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</si>
  <si>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</si>
  <si>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</si>
  <si>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</si>
  <si>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</si>
  <si>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</si>
  <si>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</si>
  <si>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</si>
  <si>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</si>
  <si>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</si>
  <si>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</si>
  <si>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</si>
  <si>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</si>
  <si>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</si>
  <si>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</si>
  <si>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</si>
  <si>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</si>
  <si>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</si>
  <si>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</si>
  <si>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</si>
  <si>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</si>
  <si>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</si>
  <si>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</si>
  <si>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</si>
  <si>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</si>
  <si>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</si>
  <si>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</si>
  <si>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</si>
  <si>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</si>
  <si>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</si>
  <si>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</si>
  <si>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</si>
  <si>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</si>
  <si>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</si>
  <si>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</si>
  <si>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</si>
  <si>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</si>
  <si>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</si>
  <si>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</si>
  <si>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</si>
  <si>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</si>
  <si>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</si>
  <si>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</si>
  <si>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</si>
  <si>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</si>
  <si>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</si>
  <si>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</si>
  <si>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</si>
  <si>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</si>
  <si>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</si>
  <si>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</si>
  <si>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</si>
  <si>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</si>
  <si>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</si>
  <si>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</si>
  <si>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</si>
  <si>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</si>
  <si>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</si>
  <si>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</si>
  <si>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</si>
  <si>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</si>
  <si>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</si>
  <si>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</si>
  <si>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</si>
  <si>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</si>
  <si>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</si>
  <si>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</si>
  <si>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</si>
  <si>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Mayores Ingresos No Aforados</t>
  </si>
  <si>
    <t>Mayores Ingresos No Aforados Ingresos tributarios</t>
  </si>
  <si>
    <t>Mayores Ingresos No Aforados Impuestos directos</t>
  </si>
  <si>
    <t>Mayores Ingresos No Aforados Contribuciones</t>
  </si>
  <si>
    <t>Mayores Ingresos No Aforados Tasas retributivas y compensatorias</t>
  </si>
  <si>
    <t>Mayores Ingresos No Aforados Tasa retributiva</t>
  </si>
  <si>
    <t>Mayores Ingresos No Aforados Tasa por el uso del agua</t>
  </si>
  <si>
    <t>Mayores Ingresos No Aforados Tasa de aprovechamiento Forestal</t>
  </si>
  <si>
    <t>Mayores Ingresos No Aforados Tasa compensatoria por caza de Fauna Silvestre</t>
  </si>
  <si>
    <t>Mayores Ingresos No Aforados Otras tasas</t>
  </si>
  <si>
    <t>Mayores Ingresos No Aforados Multas, sanciones e intereses de mora</t>
  </si>
  <si>
    <t>Mayores Ingresos No Aforados Venta de bienes y servicios</t>
  </si>
  <si>
    <t>Menores Ejecuciones en Gasto</t>
  </si>
  <si>
    <t>Menores Ejecuciones en Gasto Ingresos tributarios</t>
  </si>
  <si>
    <t>IMenores Ejecuciones en Gasto mpuestos directos</t>
  </si>
  <si>
    <t>Menores Ejecuciones en Gasto Contribuciones</t>
  </si>
  <si>
    <t>Menores Ejecuciones en Gasto Tasas retributivas y compensatorias</t>
  </si>
  <si>
    <t>Menores Ejecuciones en Gasto Tasa retributiva</t>
  </si>
  <si>
    <t>Menores Ejecuciones en Gasto Tasa por el uso del agua</t>
  </si>
  <si>
    <t>Menores Ejecuciones en Gasto Tasa de aprovechamiento Forestal</t>
  </si>
  <si>
    <t>Menores Ejecuciones en Gasto Tasa compensatoria por caza de Fauna Silvestre</t>
  </si>
  <si>
    <t>Menores Ejecuciones en Gasto Otras tasas</t>
  </si>
  <si>
    <t>Menores Ejecuciones en Gasto Multas, sanciones e intereses de mora</t>
  </si>
  <si>
    <t>Menores Ejecuciones en Gasto Venta de bienes y servicios</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</si>
  <si>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</si>
  <si>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</si>
  <si>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</si>
  <si>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</si>
  <si>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</si>
  <si>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</si>
  <si>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</si>
  <si>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</si>
  <si>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</si>
  <si>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</si>
  <si>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</si>
  <si>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</si>
  <si>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</si>
  <si>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</si>
  <si>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</si>
  <si>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</si>
  <si>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</si>
  <si>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</si>
  <si>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</si>
  <si>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</si>
  <si>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</si>
  <si>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</si>
  <si>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</si>
  <si>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</si>
  <si>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</si>
  <si>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</si>
  <si>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</si>
  <si>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</si>
  <si>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</si>
  <si>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</si>
  <si>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</si>
  <si>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</si>
  <si>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</si>
  <si>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</si>
  <si>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</si>
  <si>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</si>
  <si>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</si>
  <si>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</si>
  <si>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</si>
  <si>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</si>
  <si>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</si>
  <si>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</si>
  <si>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</si>
  <si>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</si>
  <si>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</si>
  <si>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</si>
  <si>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</si>
  <si>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</si>
  <si>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</si>
  <si>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</si>
  <si>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</si>
  <si>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</si>
  <si>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</si>
  <si>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</si>
  <si>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</si>
  <si>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</si>
  <si>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</si>
  <si>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</si>
  <si>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</si>
  <si>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</si>
  <si>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</si>
  <si>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</si>
  <si>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</si>
  <si>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</si>
  <si>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</si>
  <si>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GASTOS DE PERSONAL</t>
  </si>
  <si>
    <t>ADQUISICIÓN DE BIENES Y SERVICIOS</t>
  </si>
  <si>
    <t>Adquisición de activos no financieros</t>
  </si>
  <si>
    <t>Adquisiciones diferentes de activos</t>
  </si>
  <si>
    <t>TRANSFERENCIAS CORRIENTES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</si>
  <si>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</si>
  <si>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</si>
  <si>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</si>
  <si>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</si>
  <si>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</si>
  <si>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</si>
  <si>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</si>
  <si>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</si>
  <si>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</si>
  <si>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</si>
  <si>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</si>
  <si>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</si>
  <si>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</si>
  <si>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Conciliaciones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</si>
  <si>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</si>
  <si>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</si>
  <si>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</si>
  <si>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</si>
  <si>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</si>
  <si>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</si>
  <si>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</si>
  <si>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</si>
  <si>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</si>
  <si>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</si>
  <si>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</si>
  <si>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</si>
  <si>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</si>
  <si>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</si>
  <si>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</si>
  <si>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</si>
  <si>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</si>
  <si>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TOTAL GASTOS DE INVERSIÓN</t>
  </si>
  <si>
    <t xml:space="preserve">Programa 10. Ecosistemas marinos y costeros </t>
  </si>
  <si>
    <t xml:space="preserve">Proyecto 10.90. Ecosistemas marinos y costeros </t>
  </si>
  <si>
    <t>Objetivo. Ecosistemas amrino y costeros</t>
  </si>
  <si>
    <t xml:space="preserve">Producto. Ecosistemas marinos y costeros </t>
  </si>
  <si>
    <t xml:space="preserve">Actividad. Ecosistemas marinos y costeros </t>
  </si>
  <si>
    <t xml:space="preserve">Programa 11.  Recurso Hidrico </t>
  </si>
  <si>
    <t xml:space="preserve">Proyecto 11.6. Obras de descontaminación ambiental </t>
  </si>
  <si>
    <t>Objetivo</t>
  </si>
  <si>
    <t>Producto</t>
  </si>
  <si>
    <t>Actividad</t>
  </si>
  <si>
    <t xml:space="preserve">Proyecto 11.7. Recuperación de los ecosistemas  del depto </t>
  </si>
  <si>
    <t xml:space="preserve">Proyecto 11.90. Recurso Hidrico </t>
  </si>
  <si>
    <t xml:space="preserve">Programa 12. Preservación del capital natural </t>
  </si>
  <si>
    <t xml:space="preserve">Proyecto 12.90. Preservacion del capital natural </t>
  </si>
  <si>
    <t xml:space="preserve">Objetivo. </t>
  </si>
  <si>
    <t xml:space="preserve">Programa 13. Educación ambiental y participación  </t>
  </si>
  <si>
    <t xml:space="preserve">Proyecto 13.90. Educación ambiental y participación  </t>
  </si>
  <si>
    <t xml:space="preserve">Programa 14. Globalización de asuntos ambientales </t>
  </si>
  <si>
    <t xml:space="preserve">Proyecto 14.90. Globalización de asuntos ambientales </t>
  </si>
  <si>
    <t>Programa 15. Gobernanza</t>
  </si>
  <si>
    <t>Proyecto 15.90. Gobernanza</t>
  </si>
  <si>
    <t xml:space="preserve">Programa 16.Crecimiento institucional </t>
  </si>
  <si>
    <t xml:space="preserve">Proyecto 16.90. Crecimiento institucional </t>
  </si>
  <si>
    <t xml:space="preserve">Programa 17. Otras inversiones </t>
  </si>
  <si>
    <t>Proyecto 17.90. Otras inversiones</t>
  </si>
  <si>
    <t xml:space="preserve">Programa 21. Sostenibilidad del recurso hídrico </t>
  </si>
  <si>
    <t>Proyecto 21.1. Sostenibilidad del recurso hídrico</t>
  </si>
  <si>
    <t xml:space="preserve">Proyecto 21.2. Caracterización, cuantificación y recuperación del recurso agua </t>
  </si>
  <si>
    <t xml:space="preserve">Proyecto 21.3. Gestión integral de los riesgos asociados al recurso hídrico </t>
  </si>
  <si>
    <t xml:space="preserve">Programa 22. Programa Sostenibilidad del recurso natural </t>
  </si>
  <si>
    <t>Proyecto 22.1. Biodiversidad y riqueza de los ecosistemas terrestres</t>
  </si>
  <si>
    <t xml:space="preserve">Proyecto 22.2.  Biodiversidad y riqueza de los ecosistemas marino costeros </t>
  </si>
  <si>
    <t xml:space="preserve">Proyecto 22.3. Estrategias regionales de conservación </t>
  </si>
  <si>
    <t xml:space="preserve">Programa 23. Programa Sostenibilidad democrática </t>
  </si>
  <si>
    <t xml:space="preserve">Proyecto 23.1. La educación ambiental como proceso de trasformación cultura para la sostenibilidad </t>
  </si>
  <si>
    <t xml:space="preserve">Proyecto 23.2.  La participación social como fundamento de la gestión ambiental territorial </t>
  </si>
  <si>
    <t xml:space="preserve">Proyecto 23.3. La diversidad etnocultural del Departamento del Atlántico como potencial estrategico para la sostenibilidad ambiental </t>
  </si>
  <si>
    <t>Proyecto 23.4. Participación para el seguimiento ODS municipales del componente ambiental</t>
  </si>
  <si>
    <t xml:space="preserve">Programa 24. Programa Sostenibilidad sectorial </t>
  </si>
  <si>
    <t>Proyecto 24.1. Equipamientos sostenibles</t>
  </si>
  <si>
    <t xml:space="preserve">Proyecto 24.2.  Por un departamento con energías renovables </t>
  </si>
  <si>
    <t>Proyecto 24.3. Territorios con planificación ambiental</t>
  </si>
  <si>
    <t>Proyecto 24.4. Prevención, control y monitoreo del aire y suelo</t>
  </si>
  <si>
    <t xml:space="preserve">Proyecto 24.5. Instrumentos económicos y de control ambiental </t>
  </si>
  <si>
    <t xml:space="preserve">Proyecto 24.6. Comunidades y territorios con conocimiento y adaptación  a la gestión del riesgo </t>
  </si>
  <si>
    <t xml:space="preserve">Proyecto 24.7. Comunidades y territorios con conocimiento y adaptacion cambio climatico </t>
  </si>
  <si>
    <t xml:space="preserve">Programa 25. Programa Sostenibilidad Institucional </t>
  </si>
  <si>
    <t xml:space="preserve">Proyecto 25.1. Gestión humama. Personla competente para la sostenibilidad ambiental en el Departamento </t>
  </si>
  <si>
    <t xml:space="preserve">Proyecto 25.2. Seguridad y salud en el trabajo </t>
  </si>
  <si>
    <t xml:space="preserve">Proyecto 25.3. Tecnología de punta para la autoridad ambiental </t>
  </si>
  <si>
    <t xml:space="preserve">Proyecto 25.4. Comunicaciones. Fortlacimiento de la presencia institucional en medios de comunicación </t>
  </si>
  <si>
    <t xml:space="preserve">Proyecto 25.5. Banco de proyectos,Creatividad para la ejecución de proyectos ambientales </t>
  </si>
  <si>
    <t xml:space="preserve">Proyecto 25.6. Sistemas de información ambiental </t>
  </si>
  <si>
    <t>Proyecto 25.7. Sistemas de gestión integrados</t>
  </si>
  <si>
    <t>Proyecto 25.8. Gestión Documental y archivo.</t>
  </si>
  <si>
    <t xml:space="preserve">Proyecto 25.9. Soporte juridico. Una entidad que cuida sus recursos  </t>
  </si>
  <si>
    <t>Proyecto 25.10. Gestión de infraestructura. Condiciones adecuadas para prestar un mejor servicio</t>
  </si>
  <si>
    <t>Programa 26. Programa Deficit vigencias anteriores</t>
  </si>
  <si>
    <t>Proyecto 26.1. Proyecto Vigencias anteriores</t>
  </si>
  <si>
    <t>TOTAL PRESUPUESTO DE GASTOS</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</si>
  <si>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</si>
  <si>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</si>
  <si>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</si>
  <si>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</si>
  <si>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</si>
  <si>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</si>
  <si>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</si>
  <si>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</si>
  <si>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</si>
  <si>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</si>
  <si>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</si>
  <si>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</si>
  <si>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</si>
  <si>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 xml:space="preserve">ANEXO NO. 3. MATRIZ DE REPORTE DE AVANCE DE INDICADORES MÍNIMOS DE GESTIÓN INCORPORADOS EN LA RESOLUCIÓN 667 DE 2016  </t>
  </si>
  <si>
    <t>N</t>
  </si>
  <si>
    <t>Indicador</t>
  </si>
  <si>
    <t>Acuerdo</t>
  </si>
  <si>
    <t>Programas</t>
  </si>
  <si>
    <t>Observaciones</t>
  </si>
  <si>
    <t>Acuerdo Consejo Directivo</t>
  </si>
  <si>
    <t>Programa o Proyecto asociado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</si>
  <si>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</si>
  <si>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</si>
  <si>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</si>
  <si>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</si>
  <si>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</si>
  <si>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</si>
  <si>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</si>
  <si>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</si>
  <si>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</si>
  <si>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</si>
  <si>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</si>
  <si>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</si>
  <si>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</si>
  <si>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</si>
  <si>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</si>
  <si>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</si>
  <si>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</si>
  <si>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</si>
  <si>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</si>
  <si>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</si>
  <si>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</si>
  <si>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</si>
  <si>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</si>
  <si>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</si>
  <si>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</si>
  <si>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</si>
  <si>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</si>
  <si>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</si>
  <si>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</si>
  <si>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</si>
  <si>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</si>
  <si>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</si>
  <si>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</si>
  <si>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</si>
  <si>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</si>
  <si>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</si>
  <si>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</si>
  <si>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1. LÍNEA ESTRATÉGICA EN SOSTENIBILIDAD HÍDRICA; PROGRAMA 1.1. PLANIFICACION, ADMINISTRACION Y GESTION DEL RECURSO HIDRICO PARA LA PROTECCION DE LOS ECOSISTEMAS</t>
  </si>
  <si>
    <t xml:space="preserve">Observaciones </t>
  </si>
  <si>
    <t>Durante la vigencia 2020 se realizó la recopilación de la información, encontrándose en la Fase de los Procesos Formales Previos del Plan de Ordenación y Manejo de Cuencas Hidrográfica de la Cuenca de Mar Caribe,  se logró recopilar la información existente en la Corporación. 
Durante la vigencia 2020 tuvimos un avance del 98% de la meta programada, hemos realizado actividades de socialización de los resultados del Plan de Ordenación y Manejo de la Cuenca Hidrográfica “COMPLEJO DE HUMEDALES DE LA VERTIENTE OCCIDENTAL DEL RÍO MAGDALENA EN EL DEPARTAMENTO DEL ATLÁNTICO”, el cual se viene ajustando mediante el Contrato No. 00386 de 2016.
logramos cumplir con el 100% del avance programado para la vigencia; es decir, alcanzamos una implementación del 10% del Plan de Ordenación y manejo de la cuenca hidrográfica de la Ciénaga de Mallorquín y los Arroyos Grande y León, el cual se logró con la implementación del Programa No1. ADMINISTRACION Y GESTION DEL RECURSO HIDRICO, subprograma PLAN MAESTRO DE DRENAJES PLUVIALES, del Plan de Ordenación y manejo de la Cuenca hidrográfica de la ciénaga de Mallorquín.
se logró un avance del 10% de la meta, representado en la celebración del Contrato N°375 de 2020 cuyo objeto contractual es: “ELABORAR EL PLAN DE MANEJO DE LA CIÉNAGA DE MALLORQUIN Y LA ACTUALIZACIÓN DE LOS ESTUDIOS PARA EL MANEJO INTEGRADO DE LOS MANGLARES DEL DEPARTAMENTO DEL ATLÁNTICO EN CUMPLIMIENTO DE LO ESTABLECIDO EN EL PLAN DE ACCIÓN INSTITUCIONAL 2020-2023”.</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</si>
  <si>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</si>
  <si>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</si>
  <si>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</si>
  <si>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</si>
  <si>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</si>
  <si>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</si>
  <si>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</si>
  <si>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</si>
  <si>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No hay microcuencas permanentes, en jurisdicción de la C.R.A.</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</si>
  <si>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</si>
  <si>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</si>
  <si>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</si>
  <si>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</si>
  <si>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</si>
  <si>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</si>
  <si>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2019 (c)</t>
  </si>
  <si>
    <t>Estado de avance a 31 de diciembre de 2019 (%)</t>
  </si>
  <si>
    <t>POMCA</t>
  </si>
  <si>
    <t>1206-02</t>
  </si>
  <si>
    <t>Plan de Ordenación y Manejo de Cuencas Hidrográfica de la Cuenca de Mar Caribe</t>
  </si>
  <si>
    <t>Aprestamiento</t>
  </si>
  <si>
    <t>La cuenca se encuentra en jurisdicción de CRA y CARDIQUE, la extensión total es de 126.975,4394 ha; la extension en jurisdicción de la CRA es de 74.409,7959 ha</t>
  </si>
  <si>
    <t>Cuenca del complejo de humedades del Rio Magdalena</t>
  </si>
  <si>
    <t>Formulación</t>
  </si>
  <si>
    <t>113.219,7506 ha</t>
  </si>
  <si>
    <t>Cuenca Hidrógrafica de la Ciénaga de Mallorquín</t>
  </si>
  <si>
    <t>Aprobado</t>
  </si>
  <si>
    <t>Cuencas Hidrográficas del Canal del Dique.</t>
  </si>
  <si>
    <t>La cuenca se encuentra en jurisdicción de CRA y CARDIQUE, la extensión total es de 441.010,7742 ha; la extension en jurisdicción de la CRA es de 113.756,6186 ha</t>
  </si>
  <si>
    <t>PMA</t>
  </si>
  <si>
    <t>Sistema de acuifero de Sabanalarga- Tubara</t>
  </si>
  <si>
    <t>Procesos Formales Previos</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</si>
  <si>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</si>
  <si>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</si>
  <si>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</si>
  <si>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</si>
  <si>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</si>
  <si>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</si>
  <si>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</si>
  <si>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</si>
  <si>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</si>
  <si>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</si>
  <si>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 xml:space="preserve"> Plan de Ordenación y Manejo de Cuencas Hidrográfica de la Cuenca de Mar Caribe</t>
  </si>
  <si>
    <t>implementación</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</si>
  <si>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</si>
  <si>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</si>
  <si>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</si>
  <si>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</si>
  <si>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</si>
  <si>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</si>
  <si>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</si>
  <si>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</si>
  <si>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</si>
  <si>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</si>
  <si>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</si>
  <si>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</si>
  <si>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</si>
  <si>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</si>
  <si>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</si>
  <si>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</si>
  <si>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</si>
  <si>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C.R.A.</t>
  </si>
  <si>
    <t>Subdirección de Planeación</t>
  </si>
  <si>
    <t>Nombre del funcionario</t>
  </si>
  <si>
    <t>Germán Escaf</t>
  </si>
  <si>
    <t>Subdirector</t>
  </si>
  <si>
    <t>gescaf@crautonoma.gov.co</t>
  </si>
  <si>
    <t>Dirección</t>
  </si>
  <si>
    <t>Calle 66 # 54- 43, esquina</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</si>
  <si>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</si>
  <si>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</si>
  <si>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</si>
  <si>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</si>
  <si>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</si>
  <si>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</si>
  <si>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</si>
  <si>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</si>
  <si>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</si>
  <si>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</si>
  <si>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</si>
  <si>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</si>
  <si>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</si>
  <si>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</si>
  <si>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</si>
  <si>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</si>
  <si>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</si>
  <si>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</si>
  <si>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</si>
  <si>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</si>
  <si>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</si>
  <si>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</si>
  <si>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</si>
  <si>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</si>
  <si>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</si>
  <si>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</si>
  <si>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</si>
  <si>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</si>
  <si>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</si>
  <si>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</si>
  <si>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</si>
  <si>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</si>
  <si>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</si>
  <si>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</si>
  <si>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</si>
  <si>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</si>
  <si>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</si>
  <si>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</si>
  <si>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</si>
  <si>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</si>
  <si>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</si>
  <si>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</si>
  <si>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</si>
  <si>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</si>
  <si>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</si>
  <si>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</si>
  <si>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</si>
  <si>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</si>
  <si>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</si>
  <si>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</si>
  <si>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</si>
  <si>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</si>
  <si>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</si>
  <si>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</si>
  <si>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</si>
  <si>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</si>
  <si>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</si>
  <si>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</si>
  <si>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</si>
  <si>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</si>
  <si>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</si>
  <si>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</si>
  <si>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</si>
  <si>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</si>
  <si>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</si>
  <si>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</si>
  <si>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</si>
  <si>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</si>
  <si>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</si>
  <si>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</si>
  <si>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</si>
  <si>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</si>
  <si>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</si>
  <si>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</si>
  <si>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</si>
  <si>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</si>
  <si>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</si>
  <si>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</si>
  <si>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</si>
  <si>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</si>
  <si>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</si>
  <si>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Línea Estratégica Sostenibilidad del Recurso Hídrico - Programa: Planificación, Administración y Gestión del Recurso Hídrico para la Protección de los Ecosistemas.</t>
  </si>
  <si>
    <t>Número total de cuerpos de agua sujeto de reglamentación de planes de ordenamiento del recurso hídrico (PORH):</t>
  </si>
  <si>
    <t>Número total de cuerpos de agua sujeto de reglamentación de planes de ordenamiento del recurso hídrico (PORH) adoptados a 31/12/2019:</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</si>
  <si>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</si>
  <si>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</si>
  <si>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</si>
  <si>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</si>
  <si>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</si>
  <si>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</si>
  <si>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</si>
  <si>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Los adoptados a 31/12/2019 y con seguimiento</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</si>
  <si>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</si>
  <si>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</si>
  <si>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</si>
  <si>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</si>
  <si>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SUBDIRECCION DE PLANEACION</t>
  </si>
  <si>
    <t>Germán Escaf Payares</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</si>
  <si>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</si>
  <si>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</si>
  <si>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</si>
  <si>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</si>
  <si>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</si>
  <si>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</si>
  <si>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</si>
  <si>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</si>
  <si>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</si>
  <si>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</si>
  <si>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</si>
  <si>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</si>
  <si>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</si>
  <si>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</si>
  <si>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</si>
  <si>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</si>
  <si>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</si>
  <si>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</si>
  <si>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 xml:space="preserve">1. LÍNEA ESTRATÉGICA EN SOSTENIBILIDAD HÍDRICA  - 4. LÍNEA SOSTENIBILIDAD SECTORIAL </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</si>
  <si>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</si>
  <si>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</si>
  <si>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</si>
  <si>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Está determinado por el número de municipios en jurisdicción de la C.R.A., incluído el distrito de Barranquilla</t>
  </si>
  <si>
    <t>Número de Planes de Saneamiento y Manejo de Vertimientos con seguimiento (PSMVCS)</t>
  </si>
  <si>
    <t>Para el primer año, se realizaron visitas de campo y mesas de trabajo con los municipios y/u operadores para revisar estado actual del plan en cada municipio, para la adopción y ejecución del mismo (presentar información complementaria, cumplimiento de obligaciones pendientes)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</si>
  <si>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</si>
  <si>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</si>
  <si>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t>SUBDIRECCION DE GESTION AMBIENTAL</t>
  </si>
  <si>
    <t>JAVIER RESTREPO</t>
  </si>
  <si>
    <t>SUBDIRECTOR</t>
  </si>
  <si>
    <t>jrestrepo@crautonoma.gov.co</t>
  </si>
  <si>
    <t>3686626 ext 111</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</si>
  <si>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</si>
  <si>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</si>
  <si>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</si>
  <si>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</si>
  <si>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</si>
  <si>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</si>
  <si>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</si>
  <si>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</si>
  <si>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</si>
  <si>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</si>
  <si>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</si>
  <si>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</si>
  <si>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</si>
  <si>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</si>
  <si>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1. LÍNEA ESTRATÉGICA EN SOSTENIBILIDAD HÍDRICA</t>
  </si>
  <si>
    <t xml:space="preserve"> El Departamento del Atlantico no tiene corrientes permanentes con excepción del Rio Magdalena.Se actualizará el índice del Uso de Agua para el Departamento del Atlántico, ya que éste fue construido en el año 2013.</t>
  </si>
  <si>
    <t>Número total de cuerpos de agua sujeto de reglamentación del uso de las aguas:</t>
  </si>
  <si>
    <t>Número total de cuerpos de agua con reglamentación del uso de las aguas a 31/12/2019:</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</si>
  <si>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</si>
  <si>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</si>
  <si>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</si>
  <si>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</si>
  <si>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</si>
  <si>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</si>
  <si>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</si>
  <si>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</si>
  <si>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</si>
  <si>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</si>
  <si>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</si>
  <si>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</si>
  <si>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</si>
  <si>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</si>
  <si>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</si>
  <si>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PROGRAMA 1.2. CARACTERIZACIÓN, CUANTIFICACIÓN Y RECUPERACIÓN DEL RECURSO AGUA COMO ARTICULADOR DE LOS BIENES Y SERVICIOS AMBIENTALES</t>
  </si>
  <si>
    <t>Número total de Programas de Uso Eficiente y Ahorro del Agua (PUEAA) aprobados por la Corporación a 31/12/2019:</t>
  </si>
  <si>
    <t>Número total de Programas de Uso Eficiente y Ahorro del Agua (PUEAA) priorizados por la Corporación para hacer seguimiento en el cuatrienio:</t>
  </si>
  <si>
    <t>Meta de Programas de Uso Eficiente y Ahorro del Agua (PUEAA) con seguimiento MPUEAACS</t>
  </si>
  <si>
    <t>Para el 2020 se iniciaron las labores de depuración, saneamiento y seguimiento con meta del 40% del total de los concesiones priorizadas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t>
  </si>
  <si>
    <t>Número de Programas de Uso Eficiente y Ahorro del Agua con seguimiento (PPUEAACS)</t>
  </si>
  <si>
    <t>Se priorizaron un total de 39 concesiones de las cuales se hizo seguimiento a 34 de éstas, logrando un avance del 87% en la meta programada.</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</si>
  <si>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</si>
  <si>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</si>
  <si>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t xml:space="preserve">SUBDIRECCIÓN DE GESTION AMBIENTAL </t>
  </si>
  <si>
    <t>Javier Restrepo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</si>
  <si>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</si>
  <si>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</si>
  <si>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</si>
  <si>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</si>
  <si>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</si>
  <si>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</si>
  <si>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</si>
  <si>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</si>
  <si>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</si>
  <si>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</si>
  <si>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</si>
  <si>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</si>
  <si>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</si>
  <si>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</si>
  <si>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</si>
  <si>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</si>
  <si>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</si>
  <si>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El pomca adoptado, corresponde a vigencia anterior.</t>
  </si>
  <si>
    <t>Número de POMCAS en ejecución</t>
  </si>
  <si>
    <t>El pomca en ejecución, corresponde a vigencia anterior.</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</si>
  <si>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</si>
  <si>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</si>
  <si>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</si>
  <si>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</si>
  <si>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</si>
  <si>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</si>
  <si>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</si>
  <si>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</si>
  <si>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</si>
  <si>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</si>
  <si>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</si>
  <si>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</si>
  <si>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</si>
  <si>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</si>
  <si>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</si>
  <si>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</si>
  <si>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</si>
  <si>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</si>
  <si>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</si>
  <si>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</si>
  <si>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</si>
  <si>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</si>
  <si>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Iniciar el proceso de formulación  Plan de Ordenación y Manejo de Cuencas Hidrográfica de la cuenca de Mar Caribe</t>
  </si>
  <si>
    <t>Adoptar los Planes de Ordenación y Manejo de: Cuencas Hidrográficas del Canal del Dique, Cuenca del complejo de humedades del Rio Magdalena y Cuenca de los Arroyos directos al Mar Caribe.</t>
  </si>
  <si>
    <t>Durante la vigencia 2020 tuvimos un avance del 98% de la meta programada, hemos realizado actividades de socialización de los resultados del Plan de Ordenación y Manejo de la Cuenca Hidrográfica “COMPLEJO DE HUMEDALES DE LA VERTIENTE OCCIDENTAL DEL RÍO MAGDALENA EN EL DEPARTAMENTO DEL ATLÁNTICO”, el cual se viene ajustando mediante el Contrato No. 00386 de 2016.</t>
  </si>
  <si>
    <t xml:space="preserve"> Implementar el Plan de Ordenación y Manejo de Cuencas Hidrográficas de la Ciénaga de Mallorquín y los Arroyos Grande y León.</t>
  </si>
  <si>
    <t>logramos cumplir con el 100% del avance programado para la vigencia; es decir, alcanzamos una implementación del 10% del Plan de Ordenación y manejo de la cuenca hidrográfica de la Ciénaga de Mallorquín y los Arroyos Grande y León, el cual se logró con la implementación del Programa No1. ADMINISTRACION Y GESTION DEL RECURSO HIDRICO, subprograma PLAN MAESTRO DE DRENAJES PLUVIALES, del Plan de Ordenación y manejo de la Cuenca hidrográfica de la ciénaga de Mallorquín.</t>
  </si>
  <si>
    <t xml:space="preserve"> Implementar el Plan de Ordenación y Manejo de Cuencas Hidrográficas del Complejo de Humedades del Río Magdalena.</t>
  </si>
  <si>
    <t>Implementar el Plan de Ordenación y Manejo de Cuencas Hidrográficas del Canal del Dique.</t>
  </si>
  <si>
    <t xml:space="preserve"> Formular el Plan de Manejo de la Ciénaga de Mallorquín</t>
  </si>
  <si>
    <t>se logró un avance del 10% de la meta, representado en la celebración del Contrato N°375 de 2020 cuyo objeto contractual es: “ELABORAR EL PLAN DE MANEJO DE LA CIÉNAGA DE MALLORQUIN Y LA ACTUALIZACIÓN DE LOS ESTUDIOS PARA EL MANEJO INTEGRADO DE LOS MANGLARES DEL DEPARTAMENTO DEL ATLÁNTICO EN CUMPLIM,IENTO DE LO ESTABLECIDO EN EL PLAN DE ACCIÓN INSTITUCIONAL 2020-2023”.</t>
  </si>
  <si>
    <t>Formular el Plan de Manejo de Acuífero de Sabanalarga - Tubará de acuerdo a la priorización definida en los criterios del Decreto 1640 de 2012</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</si>
  <si>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</si>
  <si>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</si>
  <si>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</si>
  <si>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</si>
  <si>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</si>
  <si>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</si>
  <si>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</si>
  <si>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</si>
  <si>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</si>
  <si>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</si>
  <si>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</si>
  <si>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</si>
  <si>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</si>
  <si>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</si>
  <si>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</si>
  <si>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</si>
  <si>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</si>
  <si>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</si>
  <si>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</si>
  <si>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</si>
  <si>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</si>
  <si>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</si>
  <si>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</si>
  <si>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</si>
  <si>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</si>
  <si>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</si>
  <si>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</si>
  <si>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</si>
  <si>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</si>
  <si>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</si>
  <si>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</si>
  <si>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</si>
  <si>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</si>
  <si>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 xml:space="preserve">4. LÍNEA ESTRATÉGICA DE SOSTENIBILIDAD SECTORIAL, PROGRAMA 4.3.  TERRITORIOS CON PLANIFICACIÓN AMBIENTAL </t>
  </si>
  <si>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</si>
  <si>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</si>
  <si>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</si>
  <si>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</si>
  <si>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</si>
  <si>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</si>
  <si>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</si>
  <si>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Difundir las determinantes ambientales y su actualización a las entidades territoriales, con el fin de que fueran incorporadas en sus instrumentos de planificación de desarrollo y territorial</t>
  </si>
  <si>
    <t>Los 23 municipios del Dpto del Atlántico, incluído el distrito de Bquilla</t>
  </si>
  <si>
    <t>Realizar asistencia técnica y jurídica sobre ordenamiento territorial, POT y determinantes ambientales a las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</si>
  <si>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</si>
  <si>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</si>
  <si>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</si>
  <si>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</si>
  <si>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</si>
  <si>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</si>
  <si>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</si>
  <si>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</si>
  <si>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</si>
  <si>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</si>
  <si>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</si>
  <si>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</si>
  <si>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</si>
  <si>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</si>
  <si>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</si>
  <si>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</si>
  <si>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</si>
  <si>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</si>
  <si>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</si>
  <si>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</si>
  <si>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</si>
  <si>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</si>
  <si>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</si>
  <si>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</si>
  <si>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</si>
  <si>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</si>
  <si>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2. LÍNEA ESTRATÉGICA SOSTENIBILIDAD DEL RECURSO NATURAL, PROGRAMA 2.1. BIODIVERSIDAD Y RIQUEZA DE LOS ECOSISTEMAS TERRESTRES</t>
  </si>
  <si>
    <t xml:space="preserve">Teniendo en cuenta el Plan de Acción Institucional 2020-2023, la meta está contemplada para cumplirse en las vigencias 2022 y 2023 (Acuerdo de aprobación del Consejo Directivo N°004 del 20 de mayo de 2020) </t>
  </si>
  <si>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</si>
  <si>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</si>
  <si>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</si>
  <si>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</si>
  <si>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</si>
  <si>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</si>
  <si>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</si>
  <si>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</si>
  <si>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</si>
  <si>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</si>
  <si>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</si>
  <si>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</si>
  <si>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t xml:space="preserve">2.1.1.5 Implementar un programa de conservación de suelos y promoción de sistemas sostenibles de producción 
</t>
  </si>
  <si>
    <t>rehabilitación o recuperación</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</si>
  <si>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</si>
  <si>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</si>
  <si>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</si>
  <si>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</si>
  <si>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</si>
  <si>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</si>
  <si>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</si>
  <si>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</si>
  <si>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</si>
  <si>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</si>
  <si>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</si>
  <si>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</si>
  <si>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</si>
  <si>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</si>
  <si>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</si>
  <si>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</si>
  <si>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</si>
  <si>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</si>
  <si>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</si>
  <si>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</si>
  <si>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</si>
  <si>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</si>
  <si>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</si>
  <si>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2. LÍNEA SOSTENIBILIDAD DEL RECURSO NATURAL; PROGRAMA 2.3. ESTRATEGIAS REGIONALES DE CONSERVACIÓN</t>
  </si>
  <si>
    <t xml:space="preserve">Teniendo en cuenta el Plan de Acción Institucional 2020-2023, la meta está contemplada para cumplirse en la vigencia 2023 (Acuerdo de aprobación del Consejo Directivo N°004 del 20 de mayo de 2020) </t>
  </si>
  <si>
    <t>Continentales</t>
  </si>
  <si>
    <t>Marinas, costeras  e Insulares (*)</t>
  </si>
  <si>
    <t>Número de áreas protegidas inscritas en el RUNAP a 31/12/2019 (número)</t>
  </si>
  <si>
    <t>Superficie de áreas protegidas inscritas en el RUNAP a 31/12/2019 (ha)</t>
  </si>
  <si>
    <t>Meta de áreas protegidas regionales a ser homologadas o recategorizadas, e inscritas en el RUNAP en el cuatrienio (ha)</t>
  </si>
  <si>
    <t>* D</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</si>
  <si>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</si>
  <si>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</si>
  <si>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</si>
  <si>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</si>
  <si>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</si>
  <si>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</si>
  <si>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</si>
  <si>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</si>
  <si>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</si>
  <si>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</si>
  <si>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</si>
  <si>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</si>
  <si>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</si>
  <si>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</si>
  <si>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</si>
  <si>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</si>
  <si>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</si>
  <si>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</si>
  <si>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</si>
  <si>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</si>
  <si>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</si>
  <si>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</si>
  <si>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</si>
  <si>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</si>
  <si>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</si>
  <si>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</si>
  <si>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</si>
  <si>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</si>
  <si>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</si>
  <si>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</si>
  <si>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</si>
  <si>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</si>
  <si>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</si>
  <si>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</si>
  <si>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</si>
  <si>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</si>
  <si>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t>Subdirección Gestión Ambiental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</si>
  <si>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</si>
  <si>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</si>
  <si>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</si>
  <si>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</si>
  <si>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</si>
  <si>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</si>
  <si>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</si>
  <si>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</si>
  <si>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</si>
  <si>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</si>
  <si>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</si>
  <si>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</si>
  <si>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</si>
  <si>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</si>
  <si>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</si>
  <si>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</si>
  <si>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</si>
  <si>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NO APLICA</t>
  </si>
  <si>
    <t>NO SE REPORTA</t>
  </si>
  <si>
    <t>NO APLICA PARA LA JURISDICCIÓN DE LA CRA.</t>
  </si>
  <si>
    <t>Reporte de avance</t>
  </si>
  <si>
    <t>Etapa</t>
  </si>
  <si>
    <t>Año 0 (2015)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</si>
  <si>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</si>
  <si>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</si>
  <si>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</si>
  <si>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</si>
  <si>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</si>
  <si>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</si>
  <si>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</si>
  <si>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</si>
  <si>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</si>
  <si>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</si>
  <si>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</si>
  <si>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</si>
  <si>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</si>
  <si>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</si>
  <si>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</si>
  <si>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</si>
  <si>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</si>
  <si>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</si>
  <si>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</si>
  <si>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</si>
  <si>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</si>
  <si>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</si>
  <si>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Ponderaciones de referencia</t>
  </si>
  <si>
    <t>2. LÍNEA SOSTENIBILIDAD DEL RECURSO NATURAL</t>
  </si>
  <si>
    <t>El Plan de Ordenamiento Forestal fue adoptado a través de la Resolución No.859 del 2018 de la C.R.A., se cntempló actualizar el mismo para la vigencia 2022.</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</si>
  <si>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</si>
  <si>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</si>
  <si>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</si>
  <si>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</si>
  <si>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31/12/2019 (ha)</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</si>
  <si>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</si>
  <si>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</si>
  <si>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</si>
  <si>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</si>
  <si>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</si>
  <si>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</si>
  <si>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</si>
  <si>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</si>
  <si>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</si>
  <si>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</si>
  <si>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</si>
  <si>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</si>
  <si>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</si>
  <si>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</si>
  <si>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</si>
  <si>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</si>
  <si>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</si>
  <si>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</si>
  <si>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</si>
  <si>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</si>
  <si>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</si>
  <si>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</si>
  <si>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</si>
  <si>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</si>
  <si>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</si>
  <si>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</si>
  <si>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</si>
  <si>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</si>
  <si>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</si>
  <si>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</si>
  <si>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</si>
  <si>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</si>
  <si>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</si>
  <si>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</si>
  <si>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</si>
  <si>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</si>
  <si>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</si>
  <si>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</si>
  <si>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</si>
  <si>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</si>
  <si>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</si>
  <si>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</si>
  <si>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</si>
  <si>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</si>
  <si>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</si>
  <si>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</si>
  <si>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</si>
  <si>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</si>
  <si>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</si>
  <si>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</si>
  <si>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Línea Estratégica Sostenibilidad del Recurso Natural - Programa Estrategias Regionales de Conservación</t>
  </si>
  <si>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</si>
  <si>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</si>
  <si>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</si>
  <si>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</si>
  <si>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</si>
  <si>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</si>
  <si>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</si>
  <si>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</si>
  <si>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</si>
  <si>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</si>
  <si>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</si>
  <si>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</si>
  <si>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</si>
  <si>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</si>
  <si>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 xml:space="preserve">Actualizar y ejecutar los  Planes de Manejo Ambiental de las Áreas Protegidas del Departamento </t>
  </si>
  <si>
    <t>Los Rosales</t>
  </si>
  <si>
    <t>Continental</t>
  </si>
  <si>
    <t>PNR</t>
  </si>
  <si>
    <t>Esta acción estrategica se implementará en 3 áreas protegidas, no se especifica presupuesto para cada área, éste se encuentraprogramado de manera general para todas las áreas protegidas de la jurisdicción de la CRA.</t>
  </si>
  <si>
    <t>Luriza</t>
  </si>
  <si>
    <t>DRMI</t>
  </si>
  <si>
    <t>El Palomar</t>
  </si>
  <si>
    <t>RFP</t>
  </si>
  <si>
    <t>Desarrollar  e implementar estudios técnicos que definan la capacidad de carga para el control de ingreso e impactos ambientales generados por los visitantes de las áreas protegidas en el Atlántico</t>
  </si>
  <si>
    <t>Banco Totumo Bijibana</t>
  </si>
  <si>
    <t>Esta acción estrategica se implementará en 2 áreas protegidas, el presupuesto se encuentra programado de manera general para las áreas protegidas del departamento</t>
  </si>
  <si>
    <t>Palmar del Tití</t>
  </si>
  <si>
    <t>PRESUPUESTO GENERAL DE LA VIGENCIA 2020 PARA ÁREAS PROTEGIDAS</t>
  </si>
  <si>
    <t>Los valores registrados corresponden al presupuesto programado y comprometido de la vigencia 2020. Éste se programó de manera general para el Proyecto "Áreas protegidas, razón por la cual no se tiene desagregado por cada una delas áreas)</t>
  </si>
  <si>
    <t>Cuanto más cercano a cien por ciento, mayores son las acciones que la autoridad ambiental realiza para la ejecución de los planes de manejo de las áreas protegidas que están a cargo de la Corporación Autónoma Regional.</t>
  </si>
  <si>
    <t>SUBDIRECCIÓN DE GESTION AMBIENTAL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</si>
  <si>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</si>
  <si>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</si>
  <si>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</si>
  <si>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</si>
  <si>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</si>
  <si>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</si>
  <si>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</si>
  <si>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</si>
  <si>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</si>
  <si>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</si>
  <si>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</si>
  <si>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</si>
  <si>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</si>
  <si>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</si>
  <si>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</si>
  <si>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2. LÍNEA SOSTENIBILIDAD DEL RECURSO NATURAL; PROGRAMA 2.1. BIODIVERSIDAD Y RIQUEZA DE LOS ECOSISTEMAS TERRESTRES; PROYECTO 2.1.2. GESTIÓN DE ESPECIES</t>
  </si>
  <si>
    <t>En el marco de un programa de conservación con especies amenazadas priorizadas en el Departamento del Atlántico la CRA se celebró el contrato N° 351 de 2020 cuyo objeto contractual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 Actualmente se encuentra en ejecución.</t>
  </si>
  <si>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</si>
  <si>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</si>
  <si>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</si>
  <si>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</si>
  <si>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</si>
  <si>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</si>
  <si>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</si>
  <si>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</si>
  <si>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</si>
  <si>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</si>
  <si>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</si>
  <si>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</si>
  <si>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</si>
  <si>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</si>
  <si>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</si>
  <si>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</si>
  <si>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</si>
  <si>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t>
  </si>
  <si>
    <t>Continental y
Marina</t>
  </si>
  <si>
    <t>Flora y Fauna</t>
  </si>
  <si>
    <t>El contrato actualmente se encuentra en fase de ejecución</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</si>
  <si>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</si>
  <si>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Subdirección Gestión ambiental</t>
  </si>
  <si>
    <t>Sundirector</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</si>
  <si>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</si>
  <si>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</si>
  <si>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</si>
  <si>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</si>
  <si>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</si>
  <si>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</si>
  <si>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</si>
  <si>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</si>
  <si>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</si>
  <si>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</si>
  <si>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</si>
  <si>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</si>
  <si>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</si>
  <si>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</si>
  <si>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</si>
  <si>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</si>
  <si>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</si>
  <si>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</si>
  <si>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</si>
  <si>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</si>
  <si>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</si>
  <si>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</si>
  <si>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</si>
  <si>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</si>
  <si>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</si>
  <si>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</si>
  <si>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</si>
  <si>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Se realizará el diagnóstico de las especies invasoras del Departamento y se diseñará una estrategia regional para el control de especies invasoras, exóticas y trasplantadas. A través del contrato N°351 de 2020 cuyo objeto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t>
  </si>
  <si>
    <t>CONTINENTAL</t>
  </si>
  <si>
    <t>MARINA</t>
  </si>
  <si>
    <t>SUBTOTAL</t>
  </si>
  <si>
    <t>Número de especies invasoras en la jurisdicción</t>
  </si>
  <si>
    <t>Número de especies invasoras con medidas de prevención, control y manejo formulado</t>
  </si>
  <si>
    <t>Inversión asociada a la ejecución de las medidas de prevención, control y manejo de especies invasoras (Millones de $)</t>
  </si>
  <si>
    <t>El contrato se encuentra en fase de ejecución</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</si>
  <si>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</si>
  <si>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</si>
  <si>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</si>
  <si>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Se realizará el diagnóstico de las especies invasoras del Departamento y diseñar una estrategia regional para el control de especies invasoras, exóticas y trasplantadas.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</si>
  <si>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</si>
  <si>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</si>
  <si>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</si>
  <si>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</si>
  <si>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</si>
  <si>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</si>
  <si>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</si>
  <si>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</si>
  <si>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</si>
  <si>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</si>
  <si>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</si>
  <si>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</si>
  <si>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</si>
  <si>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</si>
  <si>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</si>
  <si>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</si>
  <si>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</si>
  <si>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</si>
  <si>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</si>
  <si>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2. LÍNEA SOSTENIBILIDAD DEL RECURSO NATURAL; PROGRAMA 2.1. BIODIVERSIDAD Y RIQUEZA DE LOS ECOSISTEMAS TERRESTRES; PROYECTO 2.1.1. DESARROLLO FORESTAL SOSTENIBLE</t>
  </si>
  <si>
    <t>Se programó la meta para avance en la vigencia 2022 y cumplimiento en la vigencia 2023</t>
  </si>
  <si>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</si>
  <si>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</si>
  <si>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</si>
  <si>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</si>
  <si>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</si>
  <si>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</si>
  <si>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</si>
  <si>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2.1.1.1 Implementar el Plan de Acción Regional de Lucha contra la Desertificación y la Sequía que  contribuya a la restauración de ecosistemas en zonas secas</t>
  </si>
  <si>
    <t xml:space="preserve">150 Hectáreas de ecosistemas en zonas secas en restauración ecológica, rehabilitación y recuperación comunitaria en los municipios con alto porcentaje de desertificación y sequía y alto porcentaje de área con acciones de restauración </t>
  </si>
  <si>
    <t>La meta está programada para la vigencia 2023.
El presupuesto registrado corresponde al PAI 2020-2023</t>
  </si>
  <si>
    <t xml:space="preserve">2.1.1.5Implementar un programa de conservación de suelos y promoción de sistemas sostenibles de producción 
</t>
  </si>
  <si>
    <t>100 Hectáreas de suelos degradados en recuperación o rehabilitación bajo sistemas sostenibles de conservación en el sur del Atlántico: Manatí, Suan y Campo de la Cruz (municipios con mayor área de degradación de suelos por erosión servera y moderada</t>
  </si>
  <si>
    <t>La meta está programada para la vigencia 2022
El presupuesto registrado corresponde al PAI 2020-2023</t>
  </si>
  <si>
    <t>Cuanto más cercano a cien por ciento, mayor es el cumplimiento de las metas establecidas por la Corporación en materia de restauración, rehabilitación y reforestación.</t>
  </si>
  <si>
    <t>SUBDIRECCIÓN DE PLANEACIÓN</t>
  </si>
  <si>
    <t>GERMÁN ESCAF PAYARES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</si>
  <si>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</si>
  <si>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</si>
  <si>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</si>
  <si>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</si>
  <si>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</si>
  <si>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</si>
  <si>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</si>
  <si>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</si>
  <si>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</si>
  <si>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</si>
  <si>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</si>
  <si>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</si>
  <si>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</si>
  <si>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</si>
  <si>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</si>
  <si>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</si>
  <si>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</si>
  <si>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</si>
  <si>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</si>
  <si>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2. LÍNEA SOSTENIBILIDAD DEL RECURSO NATURAL - PROGRAMA 2.2. BIODIVERSIDAD Y RIQUEZA DE LOS ECOSISTEMAS MARINO COSTERO</t>
  </si>
  <si>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</si>
  <si>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</si>
  <si>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</si>
  <si>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</si>
  <si>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</si>
  <si>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</si>
  <si>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</si>
  <si>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</si>
  <si>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</si>
  <si>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</si>
  <si>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2.2.1.1. Adoptar e implementar el Plan de Ordenación y Manejo-POMIUAC  de la Unidad Ambiental Costera-UAC del Rio Magdalena</t>
  </si>
  <si>
    <t>Planificación y ordenamiento de UAC</t>
  </si>
  <si>
    <t>2.2.1.2. Adelantar e implentar acciones encaminadas a impulsar el ecoturismo sostenible en zonas de la franja costera del departamento del Atlántico.</t>
  </si>
  <si>
    <t>Articulación junto con los entes territoriales en el manejo integrado de zonas costeras</t>
  </si>
  <si>
    <t>2.2.2.1. Definir e implementar acciones para controlar y mitigar el estado de la Erosión Costera en el Departamento del Atlàntico.</t>
  </si>
  <si>
    <t>Gestión ambiental en las zonas costeras</t>
  </si>
  <si>
    <t>2.2.3.1. Diseñar  y ejecutar un  programa educativo  dirigido a  la conservación de la Biodiversidad Marino-Costera del departamento del Atlántico, con enfasis en el cumplimiento de las leyes y orientado a controlar la destrucción de barreras naturales de protección de las costas, tales como manglares, arrecifes coralinos, islas de barrera y otras características geomorfológicas de protección.</t>
  </si>
  <si>
    <t>Educación y participación en MIZC</t>
  </si>
  <si>
    <t>2.2.3.2. Establecer un  Programa de  Control y Monitoreo de la Unidad Ambiental Costera</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</si>
  <si>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</si>
  <si>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</si>
  <si>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</si>
  <si>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</si>
  <si>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</si>
  <si>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</si>
  <si>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</si>
  <si>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</si>
  <si>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</si>
  <si>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</si>
  <si>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</si>
  <si>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</si>
  <si>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</si>
  <si>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</si>
  <si>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</si>
  <si>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</si>
  <si>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</si>
  <si>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</si>
  <si>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</si>
  <si>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</si>
  <si>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</si>
  <si>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</si>
  <si>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</si>
  <si>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</si>
  <si>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</si>
  <si>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</si>
  <si>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</si>
  <si>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</si>
  <si>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</si>
  <si>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</si>
  <si>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</si>
  <si>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</si>
  <si>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</si>
  <si>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</si>
  <si>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</si>
  <si>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4. LÍNEA SOSTENIBILIDAD SECTORIAL  - PROGRAMA 4.4.  PREVENCIÓN, CONTROL Y MONITOREO DEL AIRE Y SUELO</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</si>
  <si>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</si>
  <si>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</si>
  <si>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</si>
  <si>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</si>
  <si>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</si>
  <si>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</si>
  <si>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</si>
  <si>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</si>
  <si>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</si>
  <si>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</si>
  <si>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</si>
  <si>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</si>
  <si>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</si>
  <si>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</si>
  <si>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</si>
  <si>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</si>
  <si>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</si>
  <si>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</si>
  <si>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</si>
  <si>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</si>
  <si>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4. LÍNEA SOSTENIBILIDAD SECTORIAL - PROGRAMA 4.2 POR UN DEPARTAMENTO CON ENERGÍAS RENOVABLES</t>
  </si>
  <si>
    <t>Celebramos Convenio de Cooperación Internacional el cual suscribimos con la Universidad de la Costa, Universidad Simon Bolivar y Bluesens GmbH biogás / biomasa como base para el uso del biogás como energía renovable, firmado el 4 de junio de 2019  entre las siguientes entidades cuyo objeto es: "FORTALECIMIENTO DEL ANÁLISIS AMBIENTAL COLOMBIANO PARA EVALUAR EL BIOGÁS / BIOMASA COMO BASE PARA EL USO DEL BIOGÁS COMO ENERGÍA RENOVABLE".  (11/2019 – 10/2021).
Se celebró el contrato N° 355 de 2020 el día 07 de diciembre de 2020 con la Corporación Universidad de la Costa con  el objeto “DISEÑO DE UN SISTEMA HIBRIDO (SOLAR FOTOVOLTAICO Y EÓLICO) DE 145 KWH/DÍA PARA ABASTECER DE ENERGÍA ELÉCTRICA A UN LABORATORIO DE CALIDAD AMBIENTAL UBICADO EN ZONA RURAL DEL MUNICIPIO DE SABANAGRANDE-ATLÁNTICO”.
Se realizaron veintiséis (26) talleres de capacitación en modalidad tanto presencial como virtual dirigido a 821 personas, entre profesores, estudiantes, empresarios, líderes ambientales, red de jóvenes y funcionarios, en los temas de manejo adecuado de los residuos sólidos, temáticas relacionadas a la salud ambiental, biodiversidad, caracol africano, residuos posconsumo entre otros.</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</si>
  <si>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</si>
  <si>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</si>
  <si>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</si>
  <si>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</si>
  <si>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</si>
  <si>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</si>
  <si>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</si>
  <si>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</si>
  <si>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</si>
  <si>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4.4.4.5. Crear una Agenda Departamental de  Economía Circular: materiales industriales y productos de uso masivo (RAEE, RESPEL, llantas usadas), Materiales de envases y empaques; Flujos de Biomasa, Flujos de Agua, Fuentes y flujos de energía, materiales de construcción.</t>
  </si>
  <si>
    <t xml:space="preserve">Elaborar Agenda Departamental en temas de Economía Circular </t>
  </si>
  <si>
    <t>Industrial
Construcción
Salud
Automotriz
Energía</t>
  </si>
  <si>
    <t>4.2.1.1. Fomentar el conocimiento sobre el Potencial energético de la generación de biogás a partir de residuos pecuarios en el Departamento del Atlántico</t>
  </si>
  <si>
    <t xml:space="preserve">Proyectos para el aprovechamiento energético de biomasa agropecuaria en el Departamento del Atlántico </t>
  </si>
  <si>
    <t>Agropecuario</t>
  </si>
  <si>
    <t xml:space="preserve">4.2.2.1. Impulsar proyectos de generación de Fuentes No convencionales de Energía Renovable-FNCER, cogeneración a partir de la misma generación distribuida y de gestión eficiente de la energía. </t>
  </si>
  <si>
    <t xml:space="preserve">Impulsar cuatro (4)  proyectos de generación de Fuentes No convencionales de Energía Renovable-FNCER, cogeneración a partir de la misma generación distribuida y de gestión eficiente de la energía. </t>
  </si>
  <si>
    <t>Energía</t>
  </si>
  <si>
    <t>4.2.3.1. Conocer el potencial de energía eólica en el Departamento del Atlántico</t>
  </si>
  <si>
    <t xml:space="preserve">Estudios de Evaluación Geoespacial del Potencial de la Energía Eólica en el Departamento del Atlántico. </t>
  </si>
  <si>
    <t>3.2.1.1.  Brindar el servicio de talleres de educación en temas ambientales relacionados a: Conservación de la biodiversidad, servicios ecosistémicos, manejo y uso sostenible de los ecosistemas marino-costeros, gestión del cambio climático, contaminación de suelo, agua y aire, gestión integral de residuos y Economía Circular, contaminación con metales pesados (mercurio), salud ambiental (COTSA), normatividad ambiental.</t>
  </si>
  <si>
    <t>Talleres de capacitación realizados relacionados con temas ambientales</t>
  </si>
  <si>
    <t>Educación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</si>
  <si>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</si>
  <si>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</si>
  <si>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</si>
  <si>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</si>
  <si>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</si>
  <si>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</si>
  <si>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</si>
  <si>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</si>
  <si>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</si>
  <si>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</si>
  <si>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</si>
  <si>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</si>
  <si>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</si>
  <si>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</si>
  <si>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</si>
  <si>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</si>
  <si>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</si>
  <si>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</si>
  <si>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</si>
  <si>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</si>
  <si>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</si>
  <si>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</si>
  <si>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</si>
  <si>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</si>
  <si>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</si>
  <si>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</si>
  <si>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</si>
  <si>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</si>
  <si>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</si>
  <si>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</si>
  <si>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</si>
  <si>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</si>
  <si>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</si>
  <si>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</si>
  <si>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</si>
  <si>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</si>
  <si>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</si>
  <si>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</si>
  <si>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</si>
  <si>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</si>
  <si>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4. LÍNEA SOSTENIBILIDAD SECTORIAL; PROGRAMA 4.4.  PREVENCIÓN, CONTROL Y MONITOREO DEL AIRE Y SUELO</t>
  </si>
  <si>
    <t>Porcentaje de ejecución de acciones relacionadas con la gestión ambiental urbana.</t>
  </si>
  <si>
    <t>Número de acciones relacionadas con gestión ambiental urbana</t>
  </si>
  <si>
    <t>Ejecución física de las acciones relacionadas con la gestión ambiental urbana</t>
  </si>
  <si>
    <t>3.1.3.2.  Desarrollar un programa de capacitación para formar a jóvenes como Gestores Ambientales Urbanos GAU en el Departamento.</t>
  </si>
  <si>
    <t xml:space="preserve">Formar jóvenes como gestores ambientales urbanos en el Departamento.   </t>
  </si>
  <si>
    <t xml:space="preserve">4.1.1.1. Implementar Convenios de Producción más Limpia con los sectores de equipamiento urbano </t>
  </si>
  <si>
    <t xml:space="preserve">Convenios de producción más limpia implementados con los sectores: plantas de beneficio de ganado (matadero), cementerios, instituciones educativas, centros de salud, sistemas productivos. </t>
  </si>
  <si>
    <t>4.4.1.1. Realizar acciones tendientes a actualizar la situación de concentración de contaminantes criterio en la calidad del aire del Departamento del Atlántico</t>
  </si>
  <si>
    <t xml:space="preserve">Colocar en funcionamiento y realizar mantenimiento en cada una de las estaciones de calidad del aire de la Corporación, con el fin de realizar reportes actualizado para el Sistema de Vigilancia de la Calidad del Aire aplicando el Protocolo para el Monitoreo y Seguimiento </t>
  </si>
  <si>
    <t>4.4.1.2. Realizar un rediseño del sistema de vigilancia de la calidad del aire en el Departamento del Atlántico.</t>
  </si>
  <si>
    <t>Realizar un (1) rediseño del Sistema de Vigilancia de Calidad del Aire aplicando el Protocolo para el Monitoreo y Seguimiento, que incluya la ubicación de dos nuevas estaciones de calidad en los municipios de Galapa y Soledad</t>
  </si>
  <si>
    <t>4.4.1.5. Realizar evaluación, seguimiento y control ambiental de las emisiones atmosféricas en el Departamento.</t>
  </si>
  <si>
    <t>Realizar la Evaluación, Seguimiento y Control Ambiental de las Emisiones Atmosféricas</t>
  </si>
  <si>
    <t>4.4.1.6. Estimar las emisiones de Gases de Efecto Invernadero (GEI) sectorial en el Departamento del Atlántico.</t>
  </si>
  <si>
    <t>Elaborar Un (1) estudio de estimación sectorial de las emisiones de Gases de Efecto Invernadero (GEI) en el Departamento del Atlántico</t>
  </si>
  <si>
    <t xml:space="preserve">4.4.2.1. Controlar las actividades productoras de olores ofensivos en el Departamento </t>
  </si>
  <si>
    <t>Realizar operativos, de Gestión ambiental de las actividades generadoras de olores ofensivos en el departamento del Atlántico</t>
  </si>
  <si>
    <t>4.4.3.1. Actualizar  los mapas de ruido diurno y nocturno en los municipios con más de 100.000 habitantes del Departamento</t>
  </si>
  <si>
    <t>Actualizar mapas de ruido ambiental diurno y nocturno en los términos establecidos en al articulo 22 de la Resolución 627 de 2006, inlcuyendo su respectivo plan de descontaminación</t>
  </si>
  <si>
    <t>4.4.3.3. Proporcionar apoyo técnico a los municipios del Departamento del Atlántico en las mediciones de emisión de ruido</t>
  </si>
  <si>
    <t>operativos con pruebas de sonometría en los municipios del departamento en atención a las denuncias interpuestas y en apoyo a los entes territoriales.</t>
  </si>
  <si>
    <t>4.4.4.2. Realizar seguimiento a la  implementación del PGIRS  municipios de la jurisdicción de la CRA.</t>
  </si>
  <si>
    <t>Realizar seguimiento en la Implementación del PGIRS en los municipios de la jurisdicción de la CRA con seguimiento a las metas de aprovechamiento.</t>
  </si>
  <si>
    <t xml:space="preserve">4.4.4.4. Actualizar el registro y reporte de usuarios generadores de RESPEL </t>
  </si>
  <si>
    <t xml:space="preserve">Registro y reporte de usuarios RESPEL actualizado </t>
  </si>
  <si>
    <t xml:space="preserve">Elaborar Agenda Departamental en temas de Economía Circular:  materiales industriales y productos de uso masivo (RAEE, RESPEL, llantas usadas), Materiales de envases y empaques; Flujos de Biomasa, Flujos de Agua, Fuentes y flujos de energía, materiales de construcción. </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</si>
  <si>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</si>
  <si>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</si>
  <si>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</si>
  <si>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</si>
  <si>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</si>
  <si>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</si>
  <si>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</si>
  <si>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</si>
  <si>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</si>
  <si>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</si>
  <si>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</si>
  <si>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</si>
  <si>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</si>
  <si>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</si>
  <si>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</si>
  <si>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</si>
  <si>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</si>
  <si>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</si>
  <si>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</si>
  <si>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</si>
  <si>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</si>
  <si>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</si>
  <si>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</si>
  <si>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</si>
  <si>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</si>
  <si>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</si>
  <si>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</si>
  <si>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</si>
  <si>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</si>
  <si>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</si>
  <si>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</si>
  <si>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</si>
  <si>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</si>
  <si>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</si>
  <si>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</si>
  <si>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</si>
  <si>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</si>
  <si>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</si>
  <si>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</si>
  <si>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</si>
  <si>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</si>
  <si>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</si>
  <si>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</si>
  <si>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</si>
  <si>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</si>
  <si>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</si>
  <si>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</si>
  <si>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</si>
  <si>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</si>
  <si>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</si>
  <si>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</si>
  <si>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</si>
  <si>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</si>
  <si>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</si>
  <si>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</si>
  <si>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</si>
  <si>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</si>
  <si>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</si>
  <si>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</si>
  <si>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</si>
  <si>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</si>
  <si>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</si>
  <si>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</si>
  <si>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</si>
  <si>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</si>
  <si>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</si>
  <si>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Tomado del Plan operativo del PAI 2020-2023, para el Programa de Negocios Verdes.
Los valores registrados corresponden al presupuesto de la vigencia del PAI 2020-2023</t>
  </si>
  <si>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</si>
  <si>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</si>
  <si>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</si>
  <si>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2.3.2.1. Actualizar  la  ventanilla nodo de negocios verdes creada para el departamento del Atlántico.</t>
  </si>
  <si>
    <t xml:space="preserve">Actualización de la Ventanilla Nodo de Negocios Verdes </t>
  </si>
  <si>
    <t>Los valores registrados corresponden al presupuesto de la vigencvia del PAI 2020-2023</t>
  </si>
  <si>
    <t>2.3.2.2.  Diseñar la Asistencia técnica que permita la consolidación, fortalecimiento  de los Negocios Verdes en el Atlántico</t>
  </si>
  <si>
    <t>Consolidar Sesenta y un (61) negocios verdes en el departamento</t>
  </si>
  <si>
    <t>2.3.2.3. Desarrollar Ferias para la promoción, divulgaciòn y realización de Negocios Verdes en el departamento del Atlántico.</t>
  </si>
  <si>
    <t xml:space="preserve">Llevar a cabo dos (2) ferias de Mercados Verdes </t>
  </si>
  <si>
    <t xml:space="preserve">2.3.2.4. Celebrar Convenios de Cooperación o alianzas con el sector público o privado nacional o internacional que permita fortalecer la oferta de asitencia técnica y de marketing de los Negocios Verdes existentes en el departamento del Atlántico. </t>
  </si>
  <si>
    <t>Dos (02) convenios que fortalezcan la asistencia técnica en Marketing</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</si>
  <si>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</si>
  <si>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</si>
  <si>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</si>
  <si>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</si>
  <si>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</si>
  <si>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</si>
  <si>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</si>
  <si>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</si>
  <si>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</si>
  <si>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</si>
  <si>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</si>
  <si>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</si>
  <si>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</si>
  <si>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</si>
  <si>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</si>
  <si>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</si>
  <si>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</si>
  <si>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</si>
  <si>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</si>
  <si>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</si>
  <si>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</si>
  <si>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</si>
  <si>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</si>
  <si>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</si>
  <si>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</si>
  <si>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</si>
  <si>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</si>
  <si>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</si>
  <si>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</si>
  <si>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</si>
  <si>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</si>
  <si>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</si>
  <si>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</si>
  <si>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</si>
  <si>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</si>
  <si>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</si>
  <si>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</si>
  <si>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</si>
  <si>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</si>
  <si>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</si>
  <si>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</si>
  <si>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</si>
  <si>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</si>
  <si>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</si>
  <si>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</si>
  <si>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</si>
  <si>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</si>
  <si>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</si>
  <si>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</si>
  <si>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</si>
  <si>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</si>
  <si>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</si>
  <si>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</si>
  <si>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</si>
  <si>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</si>
  <si>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</si>
  <si>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</si>
  <si>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 xml:space="preserve">4. LÍNEA SOSTENIBILIDAD SECTORIAL ; PROGRAMA 4.5: Instrumenos económicos y de control ambiental </t>
  </si>
  <si>
    <t>Licencias ambientales</t>
  </si>
  <si>
    <t>TL.A. Tiempo efectivo de duración del trámite de otorgamiento de licencias ambientales (número de días)</t>
  </si>
  <si>
    <t xml:space="preserve">N L.A.: Número de solicitudes de licencia ambiental atendidos </t>
  </si>
  <si>
    <t>Se encuentra en trámite</t>
  </si>
  <si>
    <t>Tx L.A. Tiempo promedio efectivo de duración del trámite de licencias ambientales</t>
  </si>
  <si>
    <t>Concesiones de agua</t>
  </si>
  <si>
    <t xml:space="preserve">T. C.A.S.: Tiempo efectivo de duración del trámite de solicitudes de concesión de agua recibidas en el periodo. </t>
  </si>
  <si>
    <t>60 días hábiles</t>
  </si>
  <si>
    <t xml:space="preserve">N C.A.S.: Número de solicitudes de concesión de agua recibidas en el periodo. </t>
  </si>
  <si>
    <t>4 resueltas, 25 autos de inicio, 22 informes pendientes del usuario</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</si>
  <si>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</si>
  <si>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</si>
  <si>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</si>
  <si>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</si>
  <si>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</si>
  <si>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</si>
  <si>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</si>
  <si>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Término establecido por la C.R.A.</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</si>
  <si>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</si>
  <si>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</si>
  <si>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</si>
  <si>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</si>
  <si>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</si>
  <si>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</si>
  <si>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</si>
  <si>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</si>
  <si>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</si>
  <si>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</si>
  <si>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</si>
  <si>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</si>
  <si>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t>Subdirección de Gestión Ambiental</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</si>
  <si>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</si>
  <si>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</si>
  <si>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</si>
  <si>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</si>
  <si>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</si>
  <si>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</si>
  <si>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</si>
  <si>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</si>
  <si>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</si>
  <si>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</si>
  <si>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</si>
  <si>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</si>
  <si>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</si>
  <si>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</si>
  <si>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</si>
  <si>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</si>
  <si>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</si>
  <si>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</si>
  <si>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</si>
  <si>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</si>
  <si>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</si>
  <si>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</si>
  <si>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</si>
  <si>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</si>
  <si>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</si>
  <si>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</si>
  <si>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</si>
  <si>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Para el 2020 se iniciaron las labores de depuración, saneamiento y seguimiento con meta del 25% del total de los expedientes existentes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Los instrumentos de manejo y control (LA-PMA) se priorizarán por sectores de alto impacto y otros, por lo tanto su seguimiento se programó con una cobertura del 100% y 50% respectivamente.  Instrumentos de manejo como PSMV y PGRIS (municipal) serán objeto de seguimiento al 100% para cada uno de los periodos de vigencia del PAC</t>
  </si>
  <si>
    <t>Seguimiento de licencias ambientales</t>
  </si>
  <si>
    <t>Número total de licencias ambientales vigentes y aprobadas por la Corporación a 31/12/2019:</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</si>
  <si>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</si>
  <si>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</si>
  <si>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</si>
  <si>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</si>
  <si>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</si>
  <si>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</si>
  <si>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</si>
  <si>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</si>
  <si>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</si>
  <si>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</si>
  <si>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</si>
  <si>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</si>
  <si>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</si>
  <si>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</si>
  <si>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Seguimiento de concesiones de agua</t>
  </si>
  <si>
    <t>Valor</t>
  </si>
  <si>
    <t>Número de usuarios de agua a 31/12/2019</t>
  </si>
  <si>
    <t>Calculados entre el año 2015 y 2019. Tomada de las bases de datos de G.A.</t>
  </si>
  <si>
    <t>Número de concesiones de agua otorgadas a 31/12/2019</t>
  </si>
  <si>
    <t>Calculados entre el año 2015 y 2019, incluye otorgamiento, renovación y/o modificación. Tomada de las bases de datos de G.A.</t>
  </si>
  <si>
    <t>Número de captaciones de agua otorgadas a 31/12/2019</t>
  </si>
  <si>
    <t>Seguimiento de concesiones de agua (número)</t>
  </si>
  <si>
    <t>Meta de número de concesiones de agua con seguimiento (MCACS)</t>
  </si>
  <si>
    <t>Para el 2020 se iniciaron las labores de depuramiento, saneamiento y seguimiento con meta del 75% del total de la concesiones priorizadas para el 2020, que incrementara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Para la depuración y saneamiento se tomo el periodo de tiempo de 2015 -2019</t>
  </si>
  <si>
    <t>Número de concesiones de agua con seguimiento (CACS)</t>
  </si>
  <si>
    <t>Porcentaje de concesiones de agua con seguimiento (PCACS)</t>
  </si>
  <si>
    <t>Seguimiento de concesiones de agua (metros cúbicos / segundo)</t>
  </si>
  <si>
    <t>Meta de concesiones de agua con seguimiento (MCACSMC)</t>
  </si>
  <si>
    <t>La verificación del caudal se realiza con la autodeclaración que presenta el usuario, además de la visita que se hace en campo.  Para el 2020 se iniciaron las labores de depuramiento, saneamiento y seguimiento con meta del 25% del total de las concesiones priorizadas para el 2020, que incrementara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t>
  </si>
  <si>
    <t>Concesiones de agua con seguimiento (CACSMC)</t>
  </si>
  <si>
    <t>Porcentaje de concesiones de agua con seguimiento (PCACSMC)</t>
  </si>
  <si>
    <t>Seguimiento de permisos de vertimiento de agua</t>
  </si>
  <si>
    <t>Número de usuarios de vertimientos de agua a 31/12/2019</t>
  </si>
  <si>
    <t>Número de permisos de vertimiento de agua otorgadas a 31/12/2019</t>
  </si>
  <si>
    <t>Número de puntos de vertimientos a 31/12/2019</t>
  </si>
  <si>
    <t>Calculados entre el año 2015 y 2019, incluye 78 a cuerpos de agua, 1 rehuso y 96 al alcantarillado o al suelo. Tomada de las bases de datos de G.A.</t>
  </si>
  <si>
    <t>Seguimiento de permisos de vertimiento de agua (número)</t>
  </si>
  <si>
    <t>Meta de número de permisos de vertimiento de agua con seguimiento (MVACS)</t>
  </si>
  <si>
    <t>Para la depuración y saneamiento se tomo el periodo de tiempo de 2015 -2019. Para el 2020 se iniciaron las labores de depuramiento, saneamiento y seguimiento con meta del 25% del total de los  vertimientos otorgados para el 2020, que incrementara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</si>
  <si>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</si>
  <si>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</si>
  <si>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</si>
  <si>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</si>
  <si>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La verificación del caudal se realiza con la autodeclaración que presenta el usuario, además de la visita que se hace en campo.  Para el 2020 se iniciaron las labores de depuramiento, saneamiento y seguimiento con meta del 25% del total de los permisos otorgados para el 2020, que incrementara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t>
  </si>
  <si>
    <t>Permisos de vertimiento de agua con seguimiento (VACSMC)</t>
  </si>
  <si>
    <t>Porcentaje de permisos de vertimiento de agua con seguimiento (PVACSMC)</t>
  </si>
  <si>
    <t>Seguimiento de permisos de aprovechamiento forestal</t>
  </si>
  <si>
    <t>Número de usuarios de permisos de aprovechamiento forestal a 31/12/2019</t>
  </si>
  <si>
    <t>Número de permisos de aprovechamiento forestal vigentes a 31/12/2019</t>
  </si>
  <si>
    <t>Seguimiento de permisos de aprovechamiento forestal (número)</t>
  </si>
  <si>
    <t>Meta de número de permisos de aprovechamiento forestal con seguimiento (MPAFCS)</t>
  </si>
  <si>
    <t>Para la depuración y saneamiento se tomo el periodo de tiempo de 2015 -2019. Para el 2020 se iniciaron las labores de depuramiento, saneamiento y seguimiento con meta del 25% del total de los permisos otorgados para el 2020, que incrementara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</si>
  <si>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</si>
  <si>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</si>
  <si>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</si>
  <si>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</si>
  <si>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Información tomada de los seguimientos realizados para el cobro de tasa x aprovech forestal</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</si>
  <si>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</si>
  <si>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</si>
  <si>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</si>
  <si>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</si>
  <si>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</si>
  <si>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</si>
  <si>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</si>
  <si>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</si>
  <si>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</si>
  <si>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</si>
  <si>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</si>
  <si>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</si>
  <si>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</si>
  <si>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</si>
  <si>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</si>
  <si>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</si>
  <si>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</si>
  <si>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</si>
  <si>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</si>
  <si>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</si>
  <si>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</si>
  <si>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</si>
  <si>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</si>
  <si>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</si>
  <si>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</si>
  <si>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</si>
  <si>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</si>
  <si>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</si>
  <si>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</si>
  <si>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</si>
  <si>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</si>
  <si>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</si>
  <si>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</si>
  <si>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</si>
  <si>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t>SUBDIRECCION GESTION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</si>
  <si>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</si>
  <si>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</si>
  <si>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</si>
  <si>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</si>
  <si>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</si>
  <si>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</si>
  <si>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</si>
  <si>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</si>
  <si>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</si>
  <si>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</si>
  <si>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</si>
  <si>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</si>
  <si>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</si>
  <si>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</si>
  <si>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</si>
  <si>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 xml:space="preserve">4. LÍNEA SOSTENIBILIDAD SECTORIAL ; PROGRAMA 4.3.  Territorios con planificación ambiental </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</si>
  <si>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</si>
  <si>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</si>
  <si>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</si>
  <si>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</si>
  <si>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</si>
  <si>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</si>
  <si>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Los 23 municipios del Dpto del Atlántico, incluido el distrito de Barranquilla</t>
  </si>
  <si>
    <t xml:space="preserve">A los municipios se les remitieron las cartillas sobre la GUÍA PARA LA INTEGRACIÓN DE LAS DETERMINANTES AMBIENTALES EN EL PROCESO DE FORMULACIÓN, REVISIÓN Y AJUSTE DE LOS POT. </t>
  </si>
  <si>
    <t xml:space="preserve">Realizar capacitaciones sobre ordenamiento territorial, POT y determinantes ambientales a las entidades territoriales. </t>
  </si>
  <si>
    <t>El método de difusión utilizado fue virtual, a través de la plataforma Teams, debido a las medidas sanitarias para atender la contingencia por el COVID 19</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</si>
  <si>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</si>
  <si>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</si>
  <si>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</si>
  <si>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</si>
  <si>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</si>
  <si>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</si>
  <si>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</si>
  <si>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</si>
  <si>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</si>
  <si>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</si>
  <si>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</si>
  <si>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</si>
  <si>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</si>
  <si>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</si>
  <si>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</si>
  <si>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</si>
  <si>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</si>
  <si>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</si>
  <si>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</si>
  <si>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</si>
  <si>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</si>
  <si>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</si>
  <si>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4. LÍNEA SOSTENIBILIDAD SECTORIAL ; PROGRAMA No 4.4. PREVENCIÓN, CONTROL Y MONITOREO DEL  AIRE Y SUELO</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</si>
  <si>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</si>
  <si>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</si>
  <si>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</si>
  <si>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</si>
  <si>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</si>
  <si>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</si>
  <si>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</si>
  <si>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</si>
  <si>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</si>
  <si>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</si>
  <si>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</si>
  <si>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</si>
  <si>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</si>
  <si>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</si>
  <si>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</si>
  <si>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</si>
  <si>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</si>
  <si>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</si>
  <si>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</si>
  <si>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SOL03 Granabastos</t>
  </si>
  <si>
    <t>MAB01
PIMSA</t>
  </si>
  <si>
    <t>MAB02 Tránsito</t>
  </si>
  <si>
    <t xml:space="preserve">FONDO02 Bomberos </t>
  </si>
  <si>
    <t>PTC01 Alcaldía</t>
  </si>
  <si>
    <t xml:space="preserve">SOL01 Cuartelillo </t>
  </si>
  <si>
    <t>FONDO01
EDUMAS</t>
  </si>
  <si>
    <t>Localización</t>
  </si>
  <si>
    <t>Soledad</t>
  </si>
  <si>
    <t>Malambo</t>
  </si>
  <si>
    <t>Puerto Colombia</t>
  </si>
  <si>
    <t>Número de días con datos esperados al año</t>
  </si>
  <si>
    <t>Número de días con datos reportados al año</t>
  </si>
  <si>
    <t>Representatividad temporal igual o superior a 75%</t>
  </si>
  <si>
    <t>(E = D/ C). Si E≥75%, escriba 1; si no, escriba 0.</t>
  </si>
  <si>
    <t>Observaciones / comentarios</t>
  </si>
  <si>
    <t>Información a fecha de corte septiembre de 2020, debido a fallas en la descarga de datos remota y en el suministro eléctrico se debe efectuar la descarga manual.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</si>
  <si>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</si>
  <si>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</si>
  <si>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</si>
  <si>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</si>
  <si>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</si>
  <si>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</si>
  <si>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</si>
  <si>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</si>
  <si>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</si>
  <si>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</si>
  <si>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</si>
  <si>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</si>
  <si>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</si>
  <si>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</si>
  <si>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</si>
  <si>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</si>
  <si>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</si>
  <si>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</si>
  <si>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</si>
  <si>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</si>
  <si>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</si>
  <si>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</si>
  <si>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</si>
  <si>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</si>
  <si>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</si>
  <si>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</si>
  <si>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</si>
  <si>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</si>
  <si>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</si>
  <si>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</si>
  <si>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</si>
  <si>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</si>
  <si>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</si>
  <si>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</si>
  <si>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</si>
  <si>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</si>
  <si>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</si>
  <si>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</si>
  <si>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</si>
  <si>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</si>
  <si>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</si>
  <si>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</si>
  <si>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</si>
  <si>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</si>
  <si>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</si>
  <si>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</si>
  <si>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</si>
  <si>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5. LÍNEA SOSTENIBILIDAD INSTITUCIONAL; PROYECTO No 5.6.2. SISTEMAS DE INFORMACIÓN AMBIENTAL (SIAC)</t>
  </si>
  <si>
    <r>
      <rPr>
        <b/>
        <sz val="10"/>
        <color theme="1"/>
        <rFont val="Calibri"/>
        <family val="2"/>
        <scheme val="minor"/>
      </rPr>
      <t>* SISAIRE</t>
    </r>
    <r>
      <rPr>
        <sz val="10"/>
        <color theme="1"/>
        <rFont val="Calibri"/>
        <family val="2"/>
        <scheme val="minor"/>
      </rPr>
      <t>: información a fecha de corte septiembre de 2020, debido a fallas en la descarga de datos remota y en el suministro eléctrico se debe efectuar la descarga manual.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t>
    </r>
  </si>
  <si>
    <t>Porcentaje de actualización y reporte de la información al SIAC</t>
  </si>
  <si>
    <t>Información reportada por las CAR:</t>
  </si>
  <si>
    <t>Subsistema</t>
  </si>
  <si>
    <t>SIRH</t>
  </si>
  <si>
    <t>* 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</si>
  <si>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</si>
  <si>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</si>
  <si>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</si>
  <si>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</si>
  <si>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</si>
  <si>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</si>
  <si>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</si>
  <si>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</si>
  <si>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Las empresas reportan año vencido, por ello en el año 2020 se valida el número de reportes de 2019</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</si>
  <si>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</si>
  <si>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</si>
  <si>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</si>
  <si>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</si>
  <si>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</si>
  <si>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</si>
  <si>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</si>
  <si>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</si>
  <si>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</si>
  <si>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</si>
  <si>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</si>
  <si>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</si>
  <si>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</si>
  <si>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</si>
  <si>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</si>
  <si>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</si>
  <si>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</si>
  <si>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</si>
  <si>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</si>
  <si>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</si>
  <si>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</si>
  <si>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</si>
  <si>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</si>
  <si>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</si>
  <si>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</si>
  <si>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</si>
  <si>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</si>
  <si>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</si>
  <si>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</si>
  <si>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</si>
  <si>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</si>
  <si>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</si>
  <si>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</si>
  <si>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</si>
  <si>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</si>
  <si>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3. LÍNEA SOSTENIBILIDAD DEMOCRÁTICA - Programa 3.1.: La Educación Ambiental como proceso de transformación cultural para la sostenibilidad</t>
  </si>
  <si>
    <t>Teniendo en cuenta que para el primer semestre del año 2020 el Gobierno Nacional decretó el Estado de Emergencia Sanitaria en Colombia, como consecuencia de la declaratoria de pandemia por parte de la Organización Mundial de la Salud – OMS, debido a la propagación del virus Covid-19 fue necesario replantear las estrategias que permitieran desarrollar las actividades de una manera segura, para ello, la entidad  se encuentra analizando la metodologías adecuadas que permitan cumplir con el objetivo misional de la meta suscrita, de acuerdo con las restricciones asociadas a la emergencia declarada, que prohíben la aglomeración de personal y recomiendan medidas de distanciamiento social, común en la implementación de estos proyectos. Por lo anterior ha sido difícil el cumplimiento de la meta.</t>
  </si>
  <si>
    <t>Número de acciones relacionadas con Educación Ambiental</t>
  </si>
  <si>
    <t>Ejecución física y financiera de acciones relacionadas con la Educación Ambiental</t>
  </si>
  <si>
    <t>Brindar asistencia técnica a los CIDEA municipales para apoyar la formulación del Plan Municipal de Educación Ambiental PMEA</t>
  </si>
  <si>
    <t>Apoyar dos acciones contempladas en los PMEA del CIDEA en cada uno de los 22 municipios</t>
  </si>
  <si>
    <t>Apoyar la realización de acciones coordinadas y aprobadas por el comité técnico del CIDEA Departamental.</t>
  </si>
  <si>
    <t>Brindar asesoría técnica a los Proyectos Ambientales Escolares (PRAE) y apoyar acciones para su implementación.</t>
  </si>
  <si>
    <t>Impulsar la conformación y/o operatividad de Semilleros de Investigación, Grupos Ecológicos o Clubes de Ciencia y dinamizadores ambientales de los municipios del Departamento.</t>
  </si>
  <si>
    <t>Establecer alianzas estratégicas con Instituciones de Educación Superior para apoyar la realización de acciones que promuevan la dimensión ambiental.</t>
  </si>
  <si>
    <t>Promover la investigación en educación ambiental en el Departamento en el marco de la política nacional de educación ambiental (PNEA).</t>
  </si>
  <si>
    <t>Brindar apoyo y acompañamiento a los PROCEDA como motivadores de cultura ambiental ciudadana y promotores de la gestión y la resolución de los conflictos socioambientales a nivel local.</t>
  </si>
  <si>
    <t>Desarrollar un programa de capacitación para formar a jóvenes como gestores ambientales urbanos GAU en el Departamento</t>
  </si>
  <si>
    <t>Posicionar el tema de la prevención y gestión del riesgo del desastre desde una visión educativa integradora en los Consejos Municipales de Gestión del Riesgo-CMGR de los municipios del Atlántico</t>
  </si>
  <si>
    <t>Apoyar a las Instituciones Educativas para la formulación y/o actualización de los Planes Escolares de Gestión del Riesgo-PEGR.</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</si>
  <si>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</si>
  <si>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</si>
  <si>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</si>
  <si>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</si>
  <si>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</si>
  <si>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</si>
  <si>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</si>
  <si>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</si>
  <si>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</si>
  <si>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</si>
  <si>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</si>
  <si>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</si>
  <si>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</si>
  <si>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</si>
  <si>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</si>
  <si>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</si>
  <si>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</si>
  <si>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</si>
  <si>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</si>
  <si>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</si>
  <si>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</si>
  <si>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</si>
  <si>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</si>
  <si>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</si>
  <si>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</si>
  <si>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</si>
  <si>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</si>
  <si>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</si>
  <si>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</si>
  <si>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</si>
  <si>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</si>
  <si>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Observaciones para la mejora de la aplicación de los indicadores</t>
  </si>
  <si>
    <t>No. Hoja</t>
  </si>
  <si>
    <t>Observación</t>
  </si>
  <si>
    <t>EDUCACIÓN</t>
  </si>
  <si>
    <t>La formulación interna que permite realizar el Cálculo de la ejecución física y financiera de acciones relacionadas con la Educación Ambiental tiene diferentes valores (números enteros y porcentuales) al parecer se desconfiguró.</t>
  </si>
  <si>
    <t>Hoja de fórmulas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</si>
</sst>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00_);_(* \(#,##0.00\);_(* &quot;-&quot;??_);_(@_)"/>
    <numFmt numFmtId="166" formatCode="0.0"/>
    <numFmt numFmtId="167" formatCode="_-* #,##0_-;\-* #,##0_-;_-* &quot;-&quot;??_-;_-@_-"/>
    <numFmt numFmtId="168" formatCode="_(* #,##0_);_(* \(#,##0\);_(* &quot;-&quot;??_);_(@_)"/>
    <numFmt numFmtId="169" formatCode="0.0%"/>
    <numFmt numFmtId="170" formatCode="_(* #,##0.0_);_(* \(#,##0.0\);_(* &quot;-&quot;??_);_(@_)"/>
  </numFmts>
  <fonts count="65">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11"/>
      <name val="Arial Narrow"/>
      <family val="2"/>
    </font>
    <font>
      <b/>
      <sz val="8"/>
      <name val="Arial Narrow"/>
      <family val="2"/>
    </font>
    <font>
      <sz val="8"/>
      <name val="Arial Narrow"/>
      <family val="2"/>
    </font>
    <font>
      <b/>
      <sz val="10"/>
      <color indexed="81"/>
      <name val="Tahoma"/>
      <family val="2"/>
    </font>
    <font>
      <b/>
      <sz val="9"/>
      <name val="Arial Narrow"/>
      <family val="2"/>
    </font>
    <font>
      <b/>
      <sz val="7"/>
      <name val="Arial Narrow"/>
      <family val="2"/>
    </font>
    <font>
      <sz val="7"/>
      <name val="Arial Narrow"/>
      <family val="2"/>
    </font>
    <font>
      <u/>
      <sz val="7"/>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b/>
      <sz val="10"/>
      <color rgb="FF000000"/>
      <name val="Arial Narrow"/>
      <family val="2"/>
    </font>
    <font>
      <b/>
      <sz val="10"/>
      <color rgb="FFFFFFFF"/>
      <name val="Arial Narrow"/>
      <family val="2"/>
    </font>
    <font>
      <sz val="10"/>
      <color theme="1"/>
      <name val="Arial Narrow"/>
      <family val="2"/>
    </font>
    <font>
      <b/>
      <sz val="10"/>
      <color theme="1"/>
      <name val="Arial Narrow"/>
      <family val="2"/>
    </font>
    <font>
      <sz val="10"/>
      <color rgb="FF000000"/>
      <name val="Arial Narrow"/>
      <family val="2"/>
    </font>
    <font>
      <b/>
      <sz val="10"/>
      <color indexed="8"/>
      <name val="Arial Narrow"/>
      <family val="2"/>
    </font>
    <font>
      <sz val="6"/>
      <color theme="1"/>
      <name val="Calibri"/>
      <family val="2"/>
      <scheme val="minor"/>
    </font>
    <font>
      <u/>
      <sz val="11"/>
      <color rgb="FF0070C0"/>
      <name val="Calibri"/>
      <family val="2"/>
      <scheme val="minor"/>
    </font>
    <font>
      <sz val="9"/>
      <color theme="1"/>
      <name val="Calibri"/>
      <family val="2"/>
    </font>
    <font>
      <b/>
      <sz val="10"/>
      <color theme="1"/>
      <name val="Calibri"/>
      <family val="2"/>
      <scheme val="minor"/>
    </font>
    <font>
      <b/>
      <sz val="11"/>
      <color rgb="FFFF0000"/>
      <name val="Arial Narrow"/>
      <family val="2"/>
    </font>
  </fonts>
  <fills count="34">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rgb="FF70AD47"/>
        <bgColor rgb="FF70AD47"/>
      </patternFill>
    </fill>
    <fill>
      <patternFill patternType="solid">
        <fgColor indexed="11"/>
        <bgColor indexed="64"/>
      </patternFill>
    </fill>
    <fill>
      <patternFill patternType="solid">
        <fgColor theme="6" tint="0.79998168889431442"/>
        <bgColor indexed="64"/>
      </patternFill>
    </fill>
    <fill>
      <patternFill patternType="solid">
        <fgColor rgb="FFFFFF00"/>
        <bgColor rgb="FFE2EFD9"/>
      </patternFill>
    </fill>
    <fill>
      <patternFill patternType="solid">
        <fgColor theme="9" tint="-0.249977111117893"/>
        <bgColor rgb="FF70AD47"/>
      </patternFill>
    </fill>
    <fill>
      <patternFill patternType="solid">
        <fgColor rgb="FFFFFF99"/>
        <bgColor indexed="64"/>
      </patternFill>
    </fill>
    <fill>
      <patternFill patternType="solid">
        <fgColor rgb="FFFFFFFF"/>
        <bgColor indexed="64"/>
      </patternFill>
    </fill>
  </fills>
  <borders count="76">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double">
        <color indexed="64"/>
      </right>
      <top style="double">
        <color indexed="64"/>
      </top>
      <bottom style="double">
        <color indexed="64"/>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s>
  <cellStyleXfs count="6">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164" fontId="21" fillId="0" borderId="0" applyFont="0" applyFill="0" applyBorder="0" applyAlignment="0" applyProtection="0"/>
    <xf numFmtId="0" fontId="32" fillId="0" borderId="0"/>
  </cellStyleXfs>
  <cellXfs count="1259">
    <xf numFmtId="0" fontId="0" fillId="0" borderId="0" xfId="0"/>
    <xf numFmtId="0" fontId="4" fillId="0" borderId="0" xfId="0" applyFont="1" applyAlignment="1">
      <alignment vertical="top"/>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14" fillId="0" borderId="8" xfId="0" applyFont="1" applyBorder="1" applyAlignment="1">
      <alignment vertical="top"/>
    </xf>
    <xf numFmtId="0" fontId="5" fillId="0" borderId="0" xfId="0" applyFont="1" applyBorder="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8" xfId="0" applyFont="1" applyBorder="1" applyAlignment="1">
      <alignment vertical="top"/>
    </xf>
    <xf numFmtId="0" fontId="4" fillId="3" borderId="8" xfId="0" applyFont="1" applyFill="1" applyBorder="1" applyAlignment="1">
      <alignment vertical="top"/>
    </xf>
    <xf numFmtId="0" fontId="4" fillId="4" borderId="8" xfId="0" applyFont="1" applyFill="1" applyBorder="1" applyAlignment="1">
      <alignment vertical="top"/>
    </xf>
    <xf numFmtId="0" fontId="4" fillId="3" borderId="8" xfId="0" applyFont="1" applyFill="1" applyBorder="1" applyAlignment="1">
      <alignment vertical="top" wrapText="1"/>
    </xf>
    <xf numFmtId="0" fontId="4" fillId="0" borderId="13" xfId="0" applyFont="1" applyBorder="1" applyAlignment="1">
      <alignment vertical="top"/>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8" fillId="0" borderId="8" xfId="0" applyFont="1" applyBorder="1" applyAlignment="1">
      <alignment vertical="top" wrapText="1"/>
    </xf>
    <xf numFmtId="0" fontId="8" fillId="0" borderId="6" xfId="0" applyFont="1" applyBorder="1" applyAlignment="1">
      <alignment vertical="top" wrapText="1"/>
    </xf>
    <xf numFmtId="0" fontId="15" fillId="0" borderId="8" xfId="0" applyFont="1" applyBorder="1" applyAlignment="1">
      <alignment vertical="top" wrapText="1"/>
    </xf>
    <xf numFmtId="0" fontId="8" fillId="0" borderId="4" xfId="0" applyFont="1" applyBorder="1" applyAlignment="1">
      <alignment vertical="top" wrapText="1"/>
    </xf>
    <xf numFmtId="0" fontId="0" fillId="3" borderId="16" xfId="0" applyFill="1" applyBorder="1" applyAlignment="1">
      <alignment vertical="top"/>
    </xf>
    <xf numFmtId="0" fontId="20" fillId="0" borderId="0" xfId="0" applyFont="1" applyBorder="1" applyAlignment="1">
      <alignment vertical="top"/>
    </xf>
    <xf numFmtId="0" fontId="4" fillId="0" borderId="0" xfId="0" applyFont="1" applyAlignment="1">
      <alignment horizontal="center" vertical="top"/>
    </xf>
    <xf numFmtId="0" fontId="6" fillId="0" borderId="0" xfId="0" applyFont="1" applyBorder="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3" fillId="0" borderId="0" xfId="0" applyFont="1" applyAlignment="1" applyProtection="1">
      <alignment horizontal="center" vertical="top"/>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3" fillId="0" borderId="0" xfId="0" applyFont="1" applyAlignment="1">
      <alignment horizontal="center" vertical="top"/>
    </xf>
    <xf numFmtId="0" fontId="3" fillId="0" borderId="0" xfId="0" applyFont="1" applyBorder="1" applyAlignment="1">
      <alignment horizontal="center" vertical="top" wrapText="1"/>
    </xf>
    <xf numFmtId="0" fontId="12" fillId="0" borderId="0" xfId="0" applyFont="1" applyBorder="1" applyAlignment="1">
      <alignment horizontal="center" vertical="top" wrapText="1"/>
    </xf>
    <xf numFmtId="0" fontId="4" fillId="0" borderId="0" xfId="0" applyFont="1" applyBorder="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4" fillId="3" borderId="8"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0" fontId="4" fillId="3" borderId="8" xfId="0" applyFont="1" applyFill="1" applyBorder="1" applyAlignment="1">
      <alignment horizontal="left" vertical="top"/>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6"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pplyProtection="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Fill="1"/>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8" xfId="0" applyFont="1" applyBorder="1" applyAlignment="1" applyProtection="1">
      <alignment vertical="top" wrapText="1"/>
      <protection locked="0"/>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4" fillId="4" borderId="14" xfId="0" applyNumberFormat="1" applyFont="1" applyFill="1" applyBorder="1" applyAlignment="1" applyProtection="1">
      <alignment horizontal="right" vertical="top"/>
    </xf>
    <xf numFmtId="9" fontId="26" fillId="4" borderId="8" xfId="0" applyNumberFormat="1" applyFont="1" applyFill="1" applyBorder="1" applyAlignment="1">
      <alignment vertical="top"/>
    </xf>
    <xf numFmtId="0" fontId="14" fillId="0" borderId="16" xfId="0" applyFont="1" applyBorder="1"/>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7" fontId="4" fillId="4" borderId="12" xfId="4" applyNumberFormat="1"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7" fillId="3" borderId="16" xfId="0" applyNumberFormat="1" applyFont="1" applyFill="1" applyBorder="1" applyAlignment="1">
      <alignment horizontal="right" vertical="top"/>
    </xf>
    <xf numFmtId="9" fontId="0" fillId="0" borderId="0" xfId="3" applyFont="1"/>
    <xf numFmtId="9" fontId="0" fillId="6" borderId="12" xfId="0" applyNumberFormat="1" applyFill="1" applyBorder="1" applyAlignment="1">
      <alignment horizontal="center" vertical="top"/>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6"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4" fillId="6" borderId="8"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vertical="top"/>
    </xf>
    <xf numFmtId="0" fontId="4" fillId="0" borderId="0" xfId="0" applyFont="1" applyAlignment="1" applyProtection="1">
      <alignment vertical="top"/>
    </xf>
    <xf numFmtId="0" fontId="4" fillId="0" borderId="0" xfId="0" applyFont="1" applyAlignment="1" applyProtection="1">
      <alignment horizontal="center" vertical="top"/>
    </xf>
    <xf numFmtId="0" fontId="20" fillId="0" borderId="0" xfId="0" applyFont="1" applyBorder="1" applyAlignment="1" applyProtection="1">
      <alignment vertical="top"/>
    </xf>
    <xf numFmtId="0" fontId="6" fillId="0" borderId="0" xfId="0" applyFont="1" applyBorder="1" applyAlignment="1" applyProtection="1">
      <alignment horizontal="center" vertical="top" wrapText="1"/>
    </xf>
    <xf numFmtId="0" fontId="0" fillId="7" borderId="16" xfId="0" applyFill="1" applyBorder="1" applyAlignment="1" applyProtection="1">
      <alignment vertical="top"/>
    </xf>
    <xf numFmtId="0" fontId="23" fillId="6" borderId="18" xfId="1" applyFont="1" applyFill="1" applyBorder="1" applyAlignment="1" applyProtection="1">
      <alignment vertical="top"/>
    </xf>
    <xf numFmtId="9" fontId="0" fillId="6" borderId="12" xfId="0" applyNumberFormat="1" applyFill="1" applyBorder="1" applyAlignment="1" applyProtection="1">
      <alignment horizontal="center" vertical="top"/>
    </xf>
    <xf numFmtId="0" fontId="1" fillId="6" borderId="20" xfId="1" applyFill="1" applyBorder="1" applyAlignment="1" applyProtection="1">
      <alignment vertical="top"/>
    </xf>
    <xf numFmtId="0" fontId="0" fillId="3" borderId="16" xfId="0" applyFill="1" applyBorder="1" applyAlignment="1" applyProtection="1">
      <alignment vertical="top"/>
    </xf>
    <xf numFmtId="0" fontId="4" fillId="0" borderId="0" xfId="0" applyFont="1" applyAlignment="1" applyProtection="1">
      <alignment horizontal="right" vertical="top"/>
    </xf>
    <xf numFmtId="0" fontId="23" fillId="6" borderId="18" xfId="0" applyFont="1" applyFill="1" applyBorder="1" applyAlignment="1" applyProtection="1">
      <alignment vertical="top"/>
    </xf>
    <xf numFmtId="0" fontId="0" fillId="6" borderId="20" xfId="0" applyFill="1" applyBorder="1" applyAlignment="1" applyProtection="1">
      <alignment vertical="top"/>
    </xf>
    <xf numFmtId="0" fontId="0" fillId="0" borderId="0" xfId="0" applyAlignment="1" applyProtection="1">
      <alignment horizontal="center" vertical="top"/>
    </xf>
    <xf numFmtId="0" fontId="4" fillId="0" borderId="2"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4" fillId="0" borderId="9" xfId="0" applyFont="1" applyBorder="1" applyAlignment="1" applyProtection="1">
      <alignment horizontal="center" vertical="top" wrapText="1"/>
    </xf>
    <xf numFmtId="0" fontId="4" fillId="0" borderId="8" xfId="0" applyFont="1" applyBorder="1" applyAlignment="1" applyProtection="1">
      <alignment vertical="top" wrapText="1"/>
    </xf>
    <xf numFmtId="0" fontId="4" fillId="0" borderId="7" xfId="0" applyFont="1" applyBorder="1" applyAlignment="1" applyProtection="1">
      <alignment vertical="top"/>
    </xf>
    <xf numFmtId="0" fontId="4" fillId="4" borderId="8" xfId="0" applyFont="1" applyFill="1" applyBorder="1" applyAlignment="1" applyProtection="1">
      <alignment vertical="top"/>
    </xf>
    <xf numFmtId="0" fontId="4" fillId="0" borderId="10" xfId="0" applyFont="1" applyBorder="1" applyAlignment="1" applyProtection="1">
      <alignment horizontal="center" vertical="top" wrapText="1"/>
    </xf>
    <xf numFmtId="0" fontId="5" fillId="0" borderId="8" xfId="0" applyFont="1" applyBorder="1" applyAlignment="1" applyProtection="1">
      <alignment vertical="top" wrapText="1"/>
    </xf>
    <xf numFmtId="17" fontId="4" fillId="0" borderId="13" xfId="0" applyNumberFormat="1" applyFont="1" applyBorder="1" applyAlignment="1" applyProtection="1">
      <alignment vertical="top" wrapText="1"/>
    </xf>
    <xf numFmtId="0" fontId="6" fillId="0" borderId="8" xfId="0" applyFont="1" applyBorder="1" applyAlignment="1" applyProtection="1">
      <alignment vertical="top" wrapText="1"/>
    </xf>
    <xf numFmtId="0" fontId="3" fillId="0" borderId="0" xfId="0" applyFont="1" applyBorder="1" applyAlignment="1" applyProtection="1">
      <alignment horizontal="center" vertical="top" wrapText="1"/>
    </xf>
    <xf numFmtId="0" fontId="4" fillId="0" borderId="12" xfId="0" applyFont="1" applyBorder="1" applyAlignment="1" applyProtection="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0" fontId="7" fillId="0" borderId="0" xfId="0" applyFont="1" applyAlignment="1" applyProtection="1">
      <alignment horizontal="center" vertical="top"/>
    </xf>
    <xf numFmtId="9" fontId="4" fillId="9" borderId="12" xfId="3" applyFont="1" applyFill="1" applyBorder="1" applyAlignment="1" applyProtection="1">
      <alignment horizontal="center" vertical="top"/>
    </xf>
    <xf numFmtId="0" fontId="3" fillId="0" borderId="6" xfId="0" applyFont="1" applyBorder="1" applyAlignment="1" applyProtection="1">
      <alignment vertical="top" wrapText="1"/>
    </xf>
    <xf numFmtId="0" fontId="4" fillId="0" borderId="6" xfId="0" applyFont="1" applyBorder="1" applyAlignment="1" applyProtection="1">
      <alignment vertical="top" wrapText="1"/>
    </xf>
    <xf numFmtId="0" fontId="0" fillId="0" borderId="6" xfId="0" applyBorder="1" applyAlignment="1" applyProtection="1">
      <alignment vertical="top" wrapText="1"/>
    </xf>
    <xf numFmtId="0" fontId="4" fillId="5" borderId="8" xfId="0" applyFont="1" applyFill="1" applyBorder="1" applyAlignment="1" applyProtection="1">
      <alignment vertical="top"/>
      <protection locked="0"/>
    </xf>
    <xf numFmtId="0" fontId="3" fillId="0" borderId="12" xfId="0" applyFont="1" applyBorder="1" applyAlignment="1" applyProtection="1">
      <alignmen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0" borderId="8" xfId="0" applyFont="1" applyBorder="1" applyAlignment="1" applyProtection="1">
      <alignment horizontal="center" vertical="top" wrapText="1"/>
    </xf>
    <xf numFmtId="0" fontId="17" fillId="0" borderId="8" xfId="2" applyBorder="1" applyAlignment="1" applyProtection="1">
      <alignment vertical="top" wrapText="1"/>
    </xf>
    <xf numFmtId="0" fontId="0" fillId="0" borderId="9" xfId="0" applyBorder="1" applyProtection="1">
      <protection locked="0"/>
    </xf>
    <xf numFmtId="0" fontId="14" fillId="0" borderId="16" xfId="0" applyFont="1" applyBorder="1" applyAlignment="1" applyProtection="1">
      <alignment horizontal="left" vertical="top"/>
    </xf>
    <xf numFmtId="0" fontId="24" fillId="0" borderId="16" xfId="2" applyFont="1" applyBorder="1" applyAlignment="1" applyProtection="1">
      <alignment horizontal="left" vertical="top" wrapText="1"/>
    </xf>
    <xf numFmtId="0" fontId="4" fillId="0" borderId="0" xfId="0" applyFont="1" applyBorder="1" applyAlignment="1" applyProtection="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0" xfId="0" applyBorder="1" applyProtection="1">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pplyProtection="1">
      <alignment vertical="top"/>
    </xf>
    <xf numFmtId="0" fontId="0" fillId="0" borderId="3" xfId="0" applyBorder="1" applyProtection="1"/>
    <xf numFmtId="0" fontId="0" fillId="0" borderId="4" xfId="0" applyBorder="1" applyProtection="1"/>
    <xf numFmtId="0" fontId="4" fillId="0" borderId="0" xfId="0" applyFont="1" applyBorder="1" applyAlignment="1" applyProtection="1">
      <alignment horizontal="center" vertical="top" wrapText="1"/>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0" fontId="0" fillId="0" borderId="0" xfId="0"/>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28" fillId="0" borderId="16" xfId="0" applyFont="1" applyBorder="1" applyAlignment="1">
      <alignment vertical="top" wrapText="1"/>
    </xf>
    <xf numFmtId="9" fontId="4" fillId="3" borderId="12" xfId="0" applyNumberFormat="1" applyFont="1" applyFill="1" applyBorder="1" applyAlignment="1" applyProtection="1">
      <alignment vertical="top"/>
      <protection locked="0"/>
    </xf>
    <xf numFmtId="9" fontId="4" fillId="4" borderId="12" xfId="0" applyNumberFormat="1" applyFont="1" applyFill="1" applyBorder="1" applyAlignment="1" applyProtection="1">
      <alignment horizontal="right" vertical="top"/>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9" fontId="25" fillId="6" borderId="16" xfId="0" applyNumberFormat="1" applyFont="1" applyFill="1" applyBorder="1" applyAlignment="1" applyProtection="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3" fontId="4" fillId="4" borderId="16" xfId="0" applyNumberFormat="1" applyFont="1" applyFill="1" applyBorder="1" applyAlignment="1" applyProtection="1">
      <alignment horizontal="right" vertical="top"/>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9" fontId="25" fillId="6" borderId="16" xfId="0" applyNumberFormat="1"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2" xfId="0" applyBorder="1" applyAlignment="1">
      <alignment vertical="top"/>
    </xf>
    <xf numFmtId="0" fontId="0" fillId="0" borderId="4" xfId="0" applyBorder="1" applyAlignment="1">
      <alignment vertical="top"/>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3" fontId="4" fillId="3" borderId="13" xfId="0" applyNumberFormat="1" applyFont="1" applyFill="1" applyBorder="1" applyAlignment="1" applyProtection="1">
      <alignment vertical="top" wrapText="1"/>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3" fontId="7" fillId="3" borderId="16" xfId="0" applyNumberFormat="1" applyFont="1" applyFill="1" applyBorder="1" applyAlignment="1" applyProtection="1">
      <alignment horizontal="right" vertical="top"/>
      <protection locked="0"/>
    </xf>
    <xf numFmtId="167" fontId="7" fillId="3" borderId="16" xfId="0" applyNumberFormat="1" applyFont="1" applyFill="1" applyBorder="1" applyAlignment="1" applyProtection="1">
      <alignment horizontal="right" vertical="top"/>
      <protection locked="0"/>
    </xf>
    <xf numFmtId="167" fontId="7" fillId="3" borderId="16" xfId="4" applyNumberFormat="1" applyFont="1" applyFill="1" applyBorder="1" applyAlignment="1" applyProtection="1">
      <alignment horizontal="right"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6" fontId="4" fillId="3" borderId="8" xfId="0" applyNumberFormat="1" applyFont="1" applyFill="1" applyBorder="1" applyAlignment="1" applyProtection="1">
      <alignment horizontal="center" vertical="top"/>
      <protection locked="0"/>
    </xf>
    <xf numFmtId="167"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4" fillId="3" borderId="33" xfId="0" applyFont="1" applyFill="1" applyBorder="1" applyAlignment="1" applyProtection="1">
      <alignment vertical="top"/>
      <protection locked="0"/>
    </xf>
    <xf numFmtId="0" fontId="0" fillId="3" borderId="34"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4" fillId="0" borderId="14" xfId="0" applyFont="1" applyBorder="1" applyAlignment="1" applyProtection="1">
      <alignment vertical="top"/>
      <protection locked="0"/>
    </xf>
    <xf numFmtId="0" fontId="17" fillId="0" borderId="0" xfId="2" applyFill="1"/>
    <xf numFmtId="0" fontId="0" fillId="0" borderId="16" xfId="0" applyBorder="1" applyAlignment="1">
      <alignment horizontal="center"/>
    </xf>
    <xf numFmtId="0" fontId="0" fillId="0" borderId="0" xfId="0" applyFill="1" applyBorder="1" applyAlignment="1">
      <alignment vertical="top"/>
    </xf>
    <xf numFmtId="0" fontId="17" fillId="0" borderId="0" xfId="2" applyFill="1" applyBorder="1"/>
    <xf numFmtId="0" fontId="7" fillId="0" borderId="0" xfId="0" applyFont="1" applyBorder="1" applyAlignment="1" applyProtection="1">
      <alignment horizontal="center" vertical="top"/>
    </xf>
    <xf numFmtId="0" fontId="4" fillId="0" borderId="0" xfId="0" applyFont="1" applyBorder="1" applyAlignment="1" applyProtection="1">
      <alignment horizontal="right" vertical="top"/>
    </xf>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pplyProtection="1">
      <alignment horizontal="center" vertical="center"/>
    </xf>
    <xf numFmtId="0" fontId="7" fillId="0" borderId="16" xfId="0" applyFont="1" applyBorder="1" applyAlignment="1" applyProtection="1">
      <alignment horizontal="center" vertical="center" wrapText="1"/>
    </xf>
    <xf numFmtId="0" fontId="0" fillId="0" borderId="16" xfId="0" applyBorder="1" applyAlignment="1" applyProtection="1">
      <alignment vertical="center"/>
    </xf>
    <xf numFmtId="0" fontId="0" fillId="0" borderId="16" xfId="0" applyBorder="1" applyAlignment="1" applyProtection="1">
      <alignment horizontal="center" vertical="center"/>
    </xf>
    <xf numFmtId="0" fontId="0" fillId="6" borderId="16" xfId="3" applyNumberFormat="1" applyFont="1" applyFill="1" applyBorder="1" applyAlignment="1" applyProtection="1">
      <alignment horizontal="left" vertical="top"/>
    </xf>
    <xf numFmtId="0" fontId="0" fillId="0" borderId="16" xfId="0" applyBorder="1" applyAlignment="1" applyProtection="1">
      <alignment vertical="center"/>
      <protection locked="0"/>
    </xf>
    <xf numFmtId="9" fontId="0" fillId="0" borderId="16" xfId="0" applyNumberFormat="1" applyBorder="1" applyAlignment="1" applyProtection="1">
      <alignment horizontal="center" vertical="top"/>
      <protection locked="0"/>
    </xf>
    <xf numFmtId="0" fontId="0" fillId="0" borderId="16" xfId="0" applyBorder="1" applyAlignment="1" applyProtection="1">
      <alignment horizontal="center" vertical="top"/>
      <protection locked="0"/>
    </xf>
    <xf numFmtId="0" fontId="7" fillId="0" borderId="18" xfId="0" applyFont="1" applyBorder="1" applyAlignment="1" applyProtection="1">
      <alignment horizontal="center" vertical="center"/>
    </xf>
    <xf numFmtId="0" fontId="7" fillId="0" borderId="20" xfId="0" applyFont="1" applyBorder="1" applyAlignment="1" applyProtection="1">
      <alignment horizontal="center" vertical="center"/>
      <protection locked="0"/>
    </xf>
    <xf numFmtId="0" fontId="7" fillId="6" borderId="20" xfId="3" applyNumberFormat="1" applyFont="1" applyFill="1" applyBorder="1" applyAlignment="1" applyProtection="1">
      <alignment horizontal="left" vertical="top"/>
      <protection locked="0"/>
    </xf>
    <xf numFmtId="0" fontId="7" fillId="0" borderId="19" xfId="0" applyFont="1" applyBorder="1" applyAlignment="1" applyProtection="1">
      <alignment horizontal="center" vertical="center"/>
    </xf>
    <xf numFmtId="0" fontId="7" fillId="6" borderId="19" xfId="3" applyNumberFormat="1" applyFont="1" applyFill="1" applyBorder="1" applyAlignment="1" applyProtection="1">
      <alignment horizontal="left" vertical="top"/>
    </xf>
    <xf numFmtId="0" fontId="7" fillId="0" borderId="16" xfId="0" applyFont="1" applyBorder="1" applyAlignment="1">
      <alignment horizontal="center" vertical="center"/>
    </xf>
    <xf numFmtId="0" fontId="17" fillId="0" borderId="0" xfId="2" applyFill="1" applyProtection="1"/>
    <xf numFmtId="0" fontId="17" fillId="0" borderId="0" xfId="2" applyFill="1" applyBorder="1" applyProtection="1"/>
    <xf numFmtId="9" fontId="4" fillId="4" borderId="8" xfId="3" applyFont="1" applyFill="1" applyBorder="1" applyAlignment="1" applyProtection="1">
      <alignment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9" fontId="0" fillId="6" borderId="0" xfId="3" applyFont="1" applyFill="1" applyAlignment="1" applyProtection="1">
      <alignment horizontal="center" vertical="top"/>
      <protection hidden="1"/>
    </xf>
    <xf numFmtId="9" fontId="0" fillId="6" borderId="16" xfId="3" applyFont="1" applyFill="1" applyBorder="1" applyAlignment="1" applyProtection="1">
      <alignment horizontal="center" vertical="top"/>
      <protection hidden="1"/>
    </xf>
    <xf numFmtId="0" fontId="7" fillId="6" borderId="16" xfId="3" applyNumberFormat="1" applyFont="1" applyFill="1" applyBorder="1" applyAlignment="1" applyProtection="1">
      <alignment horizontal="left" vertical="top" wrapText="1"/>
      <protection hidden="1"/>
    </xf>
    <xf numFmtId="0" fontId="7" fillId="6" borderId="18" xfId="3" applyNumberFormat="1" applyFont="1" applyFill="1" applyBorder="1" applyAlignment="1" applyProtection="1">
      <alignment horizontal="left" vertical="top" wrapText="1"/>
      <protection hidden="1"/>
    </xf>
    <xf numFmtId="0" fontId="4" fillId="3" borderId="7" xfId="0" applyFont="1" applyFill="1" applyBorder="1" applyAlignment="1" applyProtection="1">
      <alignment horizontal="center" vertical="top"/>
    </xf>
    <xf numFmtId="0" fontId="30" fillId="0" borderId="0" xfId="0" applyFont="1" applyFill="1" applyAlignment="1">
      <alignment vertical="center" wrapText="1"/>
    </xf>
    <xf numFmtId="0" fontId="30" fillId="0" borderId="0" xfId="0" applyFont="1" applyBorder="1" applyAlignment="1">
      <alignment vertical="center"/>
    </xf>
    <xf numFmtId="0" fontId="30" fillId="0" borderId="0" xfId="5" applyFont="1" applyFill="1" applyAlignment="1">
      <alignment vertical="center" wrapText="1"/>
    </xf>
    <xf numFmtId="0" fontId="30" fillId="0" borderId="0" xfId="5" applyFont="1" applyBorder="1" applyAlignment="1">
      <alignment vertical="center"/>
    </xf>
    <xf numFmtId="0" fontId="36" fillId="15" borderId="12" xfId="5" applyFont="1" applyFill="1" applyBorder="1" applyAlignment="1">
      <alignment horizontal="center" vertical="top" wrapText="1"/>
    </xf>
    <xf numFmtId="0" fontId="36" fillId="16" borderId="12" xfId="5" applyFont="1" applyFill="1" applyBorder="1" applyAlignment="1">
      <alignment horizontal="center" vertical="top" wrapText="1"/>
    </xf>
    <xf numFmtId="0" fontId="36" fillId="17" borderId="1" xfId="5" applyFont="1" applyFill="1" applyBorder="1" applyAlignment="1">
      <alignment horizontal="center" vertical="top" wrapText="1"/>
    </xf>
    <xf numFmtId="0" fontId="36" fillId="18" borderId="12" xfId="5" applyFont="1" applyFill="1" applyBorder="1" applyAlignment="1">
      <alignment horizontal="center" vertical="top" wrapText="1"/>
    </xf>
    <xf numFmtId="0" fontId="36" fillId="18" borderId="1" xfId="5" applyFont="1" applyFill="1" applyBorder="1" applyAlignment="1">
      <alignment horizontal="center" vertical="top" wrapText="1"/>
    </xf>
    <xf numFmtId="0" fontId="37" fillId="0" borderId="34" xfId="5" applyFont="1" applyFill="1" applyBorder="1" applyAlignment="1">
      <alignment horizontal="left" vertical="center" wrapText="1" indent="2"/>
    </xf>
    <xf numFmtId="3" fontId="37" fillId="0" borderId="41" xfId="5" applyNumberFormat="1" applyFont="1" applyFill="1" applyBorder="1" applyAlignment="1">
      <alignment vertical="center" wrapText="1"/>
    </xf>
    <xf numFmtId="3" fontId="36" fillId="0" borderId="42" xfId="5" applyNumberFormat="1" applyFont="1" applyFill="1" applyBorder="1" applyAlignment="1">
      <alignment vertical="center" wrapText="1"/>
    </xf>
    <xf numFmtId="3" fontId="36" fillId="0" borderId="41" xfId="5" applyNumberFormat="1" applyFont="1" applyFill="1" applyBorder="1" applyAlignment="1">
      <alignment vertical="center" wrapText="1"/>
    </xf>
    <xf numFmtId="0" fontId="37" fillId="0" borderId="42" xfId="5" applyFont="1" applyFill="1" applyBorder="1" applyAlignment="1">
      <alignment horizontal="left" vertical="center" wrapText="1" indent="2"/>
    </xf>
    <xf numFmtId="3" fontId="37" fillId="0" borderId="44" xfId="5" applyNumberFormat="1" applyFont="1" applyFill="1" applyBorder="1" applyAlignment="1">
      <alignment vertical="center" wrapText="1"/>
    </xf>
    <xf numFmtId="3" fontId="36" fillId="0" borderId="45" xfId="5" applyNumberFormat="1" applyFont="1" applyFill="1" applyBorder="1" applyAlignment="1">
      <alignment vertical="center" wrapText="1"/>
    </xf>
    <xf numFmtId="3" fontId="36" fillId="0" borderId="44" xfId="5" applyNumberFormat="1" applyFont="1" applyFill="1" applyBorder="1" applyAlignment="1">
      <alignment vertical="center" wrapText="1"/>
    </xf>
    <xf numFmtId="3" fontId="36" fillId="0" borderId="46" xfId="5" applyNumberFormat="1" applyFont="1" applyFill="1" applyBorder="1" applyAlignment="1">
      <alignment vertical="center" wrapText="1"/>
    </xf>
    <xf numFmtId="3" fontId="36" fillId="0" borderId="49" xfId="5" applyNumberFormat="1" applyFont="1" applyFill="1" applyBorder="1" applyAlignment="1">
      <alignment vertical="center" wrapText="1"/>
    </xf>
    <xf numFmtId="0" fontId="37" fillId="0" borderId="40" xfId="5" applyFont="1" applyFill="1" applyBorder="1" applyAlignment="1">
      <alignment vertical="center" wrapText="1"/>
    </xf>
    <xf numFmtId="0" fontId="37" fillId="0" borderId="44" xfId="5" applyFont="1" applyFill="1" applyBorder="1" applyAlignment="1">
      <alignment vertical="center" wrapText="1"/>
    </xf>
    <xf numFmtId="3" fontId="36" fillId="13" borderId="12" xfId="5" applyNumberFormat="1" applyFont="1" applyFill="1" applyBorder="1" applyAlignment="1">
      <alignment vertical="center" wrapText="1"/>
    </xf>
    <xf numFmtId="0" fontId="33" fillId="0" borderId="0" xfId="5" applyFont="1" applyBorder="1" applyAlignment="1">
      <alignment horizontal="right" vertical="top"/>
    </xf>
    <xf numFmtId="0" fontId="32" fillId="0" borderId="0" xfId="5" applyAlignment="1">
      <alignment vertical="center"/>
    </xf>
    <xf numFmtId="0" fontId="40" fillId="13" borderId="1" xfId="5" applyFont="1" applyFill="1" applyBorder="1" applyAlignment="1">
      <alignment horizontal="center" vertical="center" wrapText="1"/>
    </xf>
    <xf numFmtId="0" fontId="40" fillId="0" borderId="42" xfId="5" applyFont="1" applyBorder="1" applyAlignment="1">
      <alignment vertical="center" wrapText="1"/>
    </xf>
    <xf numFmtId="0" fontId="41" fillId="0" borderId="42" xfId="5" applyFont="1" applyBorder="1" applyAlignment="1">
      <alignment horizontal="justify" vertical="center" wrapText="1"/>
    </xf>
    <xf numFmtId="0" fontId="40" fillId="0" borderId="47" xfId="5" applyFont="1" applyBorder="1" applyAlignment="1">
      <alignment vertical="center" wrapText="1"/>
    </xf>
    <xf numFmtId="0" fontId="41" fillId="0" borderId="47" xfId="5" applyFont="1" applyBorder="1" applyAlignment="1">
      <alignment horizontal="justify" vertical="center" wrapText="1"/>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2" borderId="14" xfId="5" applyFont="1" applyFill="1" applyBorder="1" applyAlignment="1">
      <alignment vertical="center" wrapText="1"/>
    </xf>
    <xf numFmtId="0" fontId="31" fillId="12" borderId="15" xfId="5" applyFont="1" applyFill="1" applyBorder="1" applyAlignment="1">
      <alignment vertical="center" wrapText="1"/>
    </xf>
    <xf numFmtId="0" fontId="31" fillId="12" borderId="7"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30" fillId="11" borderId="14" xfId="0"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49" fontId="45" fillId="0" borderId="57" xfId="5" applyNumberFormat="1" applyFont="1" applyBorder="1" applyAlignment="1">
      <alignment vertical="center" wrapText="1"/>
    </xf>
    <xf numFmtId="49" fontId="45" fillId="0" borderId="57" xfId="5" quotePrefix="1" applyNumberFormat="1" applyFont="1" applyBorder="1" applyAlignment="1">
      <alignment vertical="center" wrapText="1"/>
    </xf>
    <xf numFmtId="0" fontId="45" fillId="0" borderId="57" xfId="5" applyFont="1" applyBorder="1" applyAlignment="1">
      <alignment vertical="center" wrapText="1"/>
    </xf>
    <xf numFmtId="49" fontId="46" fillId="0" borderId="56" xfId="5" applyNumberFormat="1" applyFont="1" applyBorder="1" applyAlignment="1">
      <alignment horizontal="center" vertical="center" wrapText="1"/>
    </xf>
    <xf numFmtId="49" fontId="45" fillId="9" borderId="56" xfId="5" applyNumberFormat="1" applyFont="1" applyFill="1" applyBorder="1" applyAlignment="1">
      <alignment horizontal="center" vertical="center" wrapText="1"/>
    </xf>
    <xf numFmtId="0" fontId="22" fillId="0" borderId="0" xfId="0" applyFont="1" applyAlignment="1">
      <alignment horizontal="center" wrapText="1"/>
    </xf>
    <xf numFmtId="49" fontId="45" fillId="19" borderId="56" xfId="5" applyNumberFormat="1" applyFont="1" applyFill="1" applyBorder="1" applyAlignment="1">
      <alignment horizontal="center" vertical="center"/>
    </xf>
    <xf numFmtId="49" fontId="47" fillId="19" borderId="56" xfId="5" applyNumberFormat="1" applyFont="1" applyFill="1" applyBorder="1" applyAlignment="1">
      <alignment horizontal="center" vertical="center"/>
    </xf>
    <xf numFmtId="0" fontId="45" fillId="19" borderId="56" xfId="5" applyFont="1" applyFill="1" applyBorder="1" applyAlignment="1">
      <alignment horizontal="left" vertical="center"/>
    </xf>
    <xf numFmtId="168" fontId="45" fillId="19" borderId="56" xfId="4" applyNumberFormat="1" applyFont="1" applyFill="1" applyBorder="1" applyAlignment="1">
      <alignment horizontal="right" vertical="center"/>
    </xf>
    <xf numFmtId="49" fontId="45" fillId="20" borderId="56" xfId="5" applyNumberFormat="1" applyFont="1" applyFill="1" applyBorder="1" applyAlignment="1">
      <alignment horizontal="center" vertical="center"/>
    </xf>
    <xf numFmtId="49" fontId="47" fillId="20" borderId="56" xfId="5" applyNumberFormat="1" applyFont="1" applyFill="1" applyBorder="1" applyAlignment="1">
      <alignment horizontal="center" vertical="center"/>
    </xf>
    <xf numFmtId="168" fontId="45" fillId="20" borderId="56" xfId="4" applyNumberFormat="1" applyFont="1" applyFill="1" applyBorder="1" applyAlignment="1">
      <alignment horizontal="right" vertical="center"/>
    </xf>
    <xf numFmtId="0" fontId="45" fillId="20" borderId="56" xfId="5" applyFont="1" applyFill="1" applyBorder="1" applyAlignment="1">
      <alignment horizontal="center" vertical="center"/>
    </xf>
    <xf numFmtId="49" fontId="45" fillId="21" borderId="56" xfId="5" applyNumberFormat="1" applyFont="1" applyFill="1" applyBorder="1" applyAlignment="1">
      <alignment horizontal="center" vertical="center"/>
    </xf>
    <xf numFmtId="49" fontId="47" fillId="21" borderId="56" xfId="5" applyNumberFormat="1" applyFont="1" applyFill="1" applyBorder="1" applyAlignment="1">
      <alignment horizontal="center" vertical="center"/>
    </xf>
    <xf numFmtId="168" fontId="45" fillId="21" borderId="56" xfId="4" applyNumberFormat="1" applyFont="1" applyFill="1" applyBorder="1" applyAlignment="1">
      <alignment horizontal="right" vertical="center"/>
    </xf>
    <xf numFmtId="0" fontId="45" fillId="21" borderId="56" xfId="5" applyFont="1" applyFill="1" applyBorder="1" applyAlignment="1">
      <alignment horizontal="center" vertical="center"/>
    </xf>
    <xf numFmtId="49" fontId="45" fillId="22" borderId="56" xfId="5" applyNumberFormat="1" applyFont="1" applyFill="1" applyBorder="1" applyAlignment="1">
      <alignment horizontal="center" vertical="center"/>
    </xf>
    <xf numFmtId="49" fontId="47" fillId="22" borderId="56" xfId="5" applyNumberFormat="1" applyFont="1" applyFill="1" applyBorder="1" applyAlignment="1">
      <alignment horizontal="center" vertical="center"/>
    </xf>
    <xf numFmtId="168" fontId="45" fillId="22" borderId="56" xfId="4" applyNumberFormat="1" applyFont="1" applyFill="1" applyBorder="1" applyAlignment="1">
      <alignment horizontal="right" vertical="center"/>
    </xf>
    <xf numFmtId="0" fontId="45" fillId="22" borderId="56" xfId="5" applyFont="1" applyFill="1" applyBorder="1" applyAlignment="1">
      <alignment horizontal="center" vertical="center"/>
    </xf>
    <xf numFmtId="49" fontId="47" fillId="0" borderId="56" xfId="5" applyNumberFormat="1" applyFont="1" applyBorder="1" applyAlignment="1">
      <alignment horizontal="center" vertical="center"/>
    </xf>
    <xf numFmtId="168" fontId="45" fillId="0" borderId="56" xfId="4" applyNumberFormat="1" applyFont="1" applyBorder="1" applyAlignment="1">
      <alignment horizontal="right" vertical="center"/>
    </xf>
    <xf numFmtId="0" fontId="45" fillId="0" borderId="56" xfId="5" applyFont="1" applyBorder="1" applyAlignment="1">
      <alignment horizontal="center" vertical="center"/>
    </xf>
    <xf numFmtId="168" fontId="47" fillId="0" borderId="56" xfId="4" applyNumberFormat="1" applyFont="1" applyBorder="1" applyAlignment="1">
      <alignment horizontal="right" vertical="center"/>
    </xf>
    <xf numFmtId="0" fontId="47" fillId="0" borderId="56" xfId="5" applyFont="1" applyBorder="1" applyAlignment="1">
      <alignment horizontal="center" vertical="center"/>
    </xf>
    <xf numFmtId="168" fontId="45" fillId="0" borderId="56" xfId="4" applyNumberFormat="1" applyFont="1" applyFill="1" applyBorder="1" applyAlignment="1">
      <alignment horizontal="right" vertical="center"/>
    </xf>
    <xf numFmtId="168" fontId="47" fillId="0" borderId="56" xfId="4" applyNumberFormat="1" applyFont="1" applyFill="1" applyBorder="1" applyAlignment="1">
      <alignment horizontal="right" vertical="center"/>
    </xf>
    <xf numFmtId="164" fontId="45" fillId="22" borderId="56" xfId="4" applyFont="1" applyFill="1" applyBorder="1" applyAlignment="1">
      <alignment horizontal="right" vertical="center"/>
    </xf>
    <xf numFmtId="164" fontId="45" fillId="0" borderId="56" xfId="4" applyFont="1" applyFill="1" applyBorder="1" applyAlignment="1">
      <alignment horizontal="right" vertical="center"/>
    </xf>
    <xf numFmtId="164" fontId="47" fillId="0" borderId="56" xfId="4" applyFont="1" applyFill="1" applyBorder="1" applyAlignment="1">
      <alignment horizontal="right" vertical="center"/>
    </xf>
    <xf numFmtId="164" fontId="45" fillId="0" borderId="56" xfId="4" applyFont="1" applyBorder="1" applyAlignment="1">
      <alignment horizontal="right" vertical="center"/>
    </xf>
    <xf numFmtId="164" fontId="47" fillId="0" borderId="56" xfId="4" applyFont="1" applyBorder="1" applyAlignment="1">
      <alignment horizontal="right" vertical="center"/>
    </xf>
    <xf numFmtId="164" fontId="45" fillId="21" borderId="56" xfId="4" applyFont="1" applyFill="1" applyBorder="1" applyAlignment="1">
      <alignment horizontal="right" vertical="center"/>
    </xf>
    <xf numFmtId="49" fontId="45" fillId="9" borderId="56" xfId="5" applyNumberFormat="1" applyFont="1" applyFill="1" applyBorder="1" applyAlignment="1">
      <alignment horizontal="center" vertical="center"/>
    </xf>
    <xf numFmtId="49" fontId="47" fillId="9" borderId="56" xfId="5" applyNumberFormat="1" applyFont="1" applyFill="1" applyBorder="1" applyAlignment="1">
      <alignment horizontal="center" vertical="center"/>
    </xf>
    <xf numFmtId="164" fontId="45" fillId="0" borderId="56" xfId="4" applyFont="1" applyBorder="1" applyAlignment="1">
      <alignment horizontal="left" vertical="center"/>
    </xf>
    <xf numFmtId="164" fontId="47" fillId="0" borderId="56" xfId="4" applyFont="1" applyBorder="1" applyAlignment="1">
      <alignment horizontal="left" vertical="center"/>
    </xf>
    <xf numFmtId="164" fontId="45" fillId="22" borderId="56" xfId="4" applyFont="1" applyFill="1" applyBorder="1" applyAlignment="1">
      <alignment horizontal="left" vertical="center"/>
    </xf>
    <xf numFmtId="49" fontId="45" fillId="21" borderId="56" xfId="5" applyNumberFormat="1" applyFont="1" applyFill="1" applyBorder="1" applyAlignment="1">
      <alignment horizontal="left" vertical="center"/>
    </xf>
    <xf numFmtId="164" fontId="45" fillId="21" borderId="56" xfId="4" applyFont="1" applyFill="1" applyBorder="1" applyAlignment="1">
      <alignment horizontal="center" vertical="center"/>
    </xf>
    <xf numFmtId="164" fontId="47" fillId="0" borderId="56" xfId="4" applyFont="1" applyFill="1" applyBorder="1" applyAlignment="1">
      <alignment horizontal="left" vertical="center"/>
    </xf>
    <xf numFmtId="164" fontId="45" fillId="0" borderId="56" xfId="4" applyFont="1" applyFill="1" applyBorder="1" applyAlignment="1">
      <alignment horizontal="left" vertical="center"/>
    </xf>
    <xf numFmtId="164" fontId="45" fillId="21" borderId="56" xfId="4" applyFont="1" applyFill="1" applyBorder="1" applyAlignment="1">
      <alignment horizontal="left" vertical="center"/>
    </xf>
    <xf numFmtId="0" fontId="0" fillId="0" borderId="0" xfId="0" applyFont="1" applyAlignment="1"/>
    <xf numFmtId="165" fontId="0" fillId="0" borderId="0" xfId="0" applyNumberFormat="1" applyFont="1" applyAlignment="1"/>
    <xf numFmtId="0" fontId="46" fillId="0" borderId="61" xfId="0" applyFont="1" applyBorder="1" applyAlignment="1">
      <alignment horizontal="center" vertical="center"/>
    </xf>
    <xf numFmtId="165" fontId="48" fillId="23" borderId="62" xfId="0" applyNumberFormat="1" applyFont="1" applyFill="1" applyBorder="1" applyAlignment="1">
      <alignment horizontal="center" vertical="center" wrapText="1"/>
    </xf>
    <xf numFmtId="49" fontId="48" fillId="24" borderId="63" xfId="0" applyNumberFormat="1" applyFont="1" applyFill="1" applyBorder="1" applyAlignment="1">
      <alignment horizontal="center" vertical="center"/>
    </xf>
    <xf numFmtId="0" fontId="33" fillId="24" borderId="63" xfId="0" applyFont="1" applyFill="1" applyBorder="1"/>
    <xf numFmtId="0" fontId="51" fillId="0" borderId="61" xfId="0" applyFont="1" applyBorder="1" applyAlignment="1">
      <alignment horizontal="left" vertical="center"/>
    </xf>
    <xf numFmtId="49" fontId="48" fillId="25" borderId="63" xfId="0" applyNumberFormat="1" applyFont="1" applyFill="1" applyBorder="1" applyAlignment="1">
      <alignment horizontal="center" vertical="center"/>
    </xf>
    <xf numFmtId="0" fontId="33" fillId="25" borderId="63" xfId="0" applyFont="1" applyFill="1" applyBorder="1"/>
    <xf numFmtId="0" fontId="48" fillId="25" borderId="63" xfId="0" applyFont="1" applyFill="1" applyBorder="1" applyAlignment="1">
      <alignment horizontal="center" vertical="center"/>
    </xf>
    <xf numFmtId="0" fontId="52" fillId="0" borderId="63" xfId="0" applyFont="1" applyBorder="1" applyAlignment="1">
      <alignment horizontal="center" vertical="center"/>
    </xf>
    <xf numFmtId="49" fontId="52" fillId="0" borderId="63" xfId="0" applyNumberFormat="1" applyFont="1" applyBorder="1" applyAlignment="1">
      <alignment horizontal="center" vertical="center"/>
    </xf>
    <xf numFmtId="49" fontId="48" fillId="0" borderId="63" xfId="0" applyNumberFormat="1" applyFont="1" applyBorder="1" applyAlignment="1">
      <alignment horizontal="center" vertical="center"/>
    </xf>
    <xf numFmtId="0" fontId="30" fillId="0" borderId="63" xfId="0" applyFont="1" applyBorder="1"/>
    <xf numFmtId="0" fontId="53" fillId="0" borderId="0" xfId="0" applyFont="1" applyAlignment="1"/>
    <xf numFmtId="0" fontId="48" fillId="26" borderId="63" xfId="0" applyFont="1" applyFill="1" applyBorder="1" applyAlignment="1">
      <alignment horizontal="center" vertical="center"/>
    </xf>
    <xf numFmtId="49" fontId="48" fillId="26" borderId="63" xfId="0" applyNumberFormat="1" applyFont="1" applyFill="1" applyBorder="1" applyAlignment="1">
      <alignment horizontal="center" vertical="center"/>
    </xf>
    <xf numFmtId="0" fontId="33" fillId="26" borderId="63" xfId="0" applyFont="1" applyFill="1" applyBorder="1"/>
    <xf numFmtId="0" fontId="50" fillId="0" borderId="0" xfId="0" applyFont="1" applyFill="1" applyAlignment="1"/>
    <xf numFmtId="0" fontId="0" fillId="0" borderId="0" xfId="0" applyFont="1" applyFill="1" applyAlignment="1"/>
    <xf numFmtId="0" fontId="50" fillId="0" borderId="0" xfId="0" applyFont="1" applyAlignment="1"/>
    <xf numFmtId="0" fontId="52" fillId="26" borderId="63" xfId="0" applyFont="1" applyFill="1" applyBorder="1" applyAlignment="1">
      <alignment horizontal="center" vertical="center"/>
    </xf>
    <xf numFmtId="49" fontId="52" fillId="26" borderId="63" xfId="0" applyNumberFormat="1" applyFont="1" applyFill="1" applyBorder="1" applyAlignment="1">
      <alignment horizontal="center" vertical="center"/>
    </xf>
    <xf numFmtId="0" fontId="52" fillId="25" borderId="63" xfId="0" applyFont="1" applyFill="1" applyBorder="1" applyAlignment="1">
      <alignment horizontal="center" vertical="center"/>
    </xf>
    <xf numFmtId="0" fontId="30" fillId="25" borderId="63" xfId="0" applyFont="1" applyFill="1" applyBorder="1"/>
    <xf numFmtId="0" fontId="30" fillId="26" borderId="63" xfId="0" quotePrefix="1" applyFont="1" applyFill="1" applyBorder="1" applyAlignment="1">
      <alignment horizontal="left"/>
    </xf>
    <xf numFmtId="0" fontId="30" fillId="0" borderId="63" xfId="0" quotePrefix="1" applyFont="1" applyBorder="1" applyAlignment="1">
      <alignment horizontal="left"/>
    </xf>
    <xf numFmtId="0" fontId="52" fillId="25" borderId="63" xfId="0" applyFont="1" applyFill="1" applyBorder="1" applyAlignment="1">
      <alignment horizontal="left" vertical="center"/>
    </xf>
    <xf numFmtId="0" fontId="52" fillId="26" borderId="63" xfId="0" applyFont="1" applyFill="1" applyBorder="1" applyAlignment="1">
      <alignment horizontal="left" vertical="center"/>
    </xf>
    <xf numFmtId="49" fontId="48" fillId="27" borderId="63" xfId="0" applyNumberFormat="1" applyFont="1" applyFill="1" applyBorder="1" applyAlignment="1">
      <alignment horizontal="center" vertical="center"/>
    </xf>
    <xf numFmtId="0" fontId="52" fillId="27" borderId="63" xfId="0" applyFont="1" applyFill="1" applyBorder="1" applyAlignment="1">
      <alignment horizontal="center" vertical="center"/>
    </xf>
    <xf numFmtId="0" fontId="54" fillId="27" borderId="63" xfId="0" applyFont="1" applyFill="1" applyBorder="1" applyAlignment="1">
      <alignment vertical="center" wrapText="1"/>
    </xf>
    <xf numFmtId="0" fontId="56" fillId="0" borderId="0" xfId="0" applyFont="1" applyAlignment="1">
      <alignment horizontal="left" vertical="center"/>
    </xf>
    <xf numFmtId="0" fontId="33" fillId="13" borderId="12" xfId="5" applyFont="1" applyFill="1" applyBorder="1" applyAlignment="1">
      <alignment horizontal="center" vertical="center" wrapText="1"/>
    </xf>
    <xf numFmtId="49" fontId="57" fillId="0" borderId="53" xfId="5" quotePrefix="1" applyNumberFormat="1" applyFont="1" applyBorder="1" applyAlignment="1">
      <alignment horizontal="left" vertical="center" wrapText="1"/>
    </xf>
    <xf numFmtId="0" fontId="58" fillId="0" borderId="53" xfId="0" quotePrefix="1" applyFont="1" applyBorder="1" applyAlignment="1">
      <alignment horizontal="left" vertical="center" wrapText="1"/>
    </xf>
    <xf numFmtId="49" fontId="57" fillId="0" borderId="56" xfId="5" applyNumberFormat="1" applyFont="1" applyBorder="1" applyAlignment="1">
      <alignment horizontal="left" vertical="center" wrapText="1"/>
    </xf>
    <xf numFmtId="0" fontId="58" fillId="0" borderId="53" xfId="0" applyFont="1" applyBorder="1" applyAlignment="1">
      <alignment vertical="center" wrapText="1"/>
    </xf>
    <xf numFmtId="49" fontId="33" fillId="0" borderId="56" xfId="5" applyNumberFormat="1" applyFont="1" applyBorder="1" applyAlignment="1">
      <alignment horizontal="left" vertical="center" wrapText="1"/>
    </xf>
    <xf numFmtId="49" fontId="57" fillId="9" borderId="56" xfId="5" applyNumberFormat="1" applyFont="1" applyFill="1" applyBorder="1" applyAlignment="1">
      <alignment horizontal="left" vertical="center" wrapText="1"/>
    </xf>
    <xf numFmtId="49" fontId="57" fillId="9" borderId="57" xfId="5" applyNumberFormat="1" applyFont="1" applyFill="1" applyBorder="1" applyAlignment="1">
      <alignment horizontal="left" vertical="center" wrapText="1"/>
    </xf>
    <xf numFmtId="49" fontId="57" fillId="0" borderId="57" xfId="5" applyNumberFormat="1" applyFont="1" applyBorder="1" applyAlignment="1">
      <alignment horizontal="left" vertical="center" wrapText="1"/>
    </xf>
    <xf numFmtId="49" fontId="56" fillId="0" borderId="56" xfId="5" quotePrefix="1" applyNumberFormat="1" applyFont="1" applyBorder="1" applyAlignment="1">
      <alignment horizontal="left" vertical="center" wrapText="1"/>
    </xf>
    <xf numFmtId="49" fontId="57" fillId="0" borderId="56" xfId="5" quotePrefix="1" applyNumberFormat="1" applyFont="1" applyBorder="1" applyAlignment="1">
      <alignment horizontal="left" vertical="center" wrapText="1"/>
    </xf>
    <xf numFmtId="0" fontId="56" fillId="0" borderId="0" xfId="0" applyFont="1"/>
    <xf numFmtId="0" fontId="30" fillId="0" borderId="16" xfId="2" applyFont="1" applyBorder="1" applyAlignment="1" applyProtection="1">
      <alignment horizontal="left" vertical="top"/>
    </xf>
    <xf numFmtId="3" fontId="36" fillId="0" borderId="19" xfId="5" applyNumberFormat="1" applyFont="1" applyFill="1" applyBorder="1" applyAlignment="1">
      <alignment vertical="center" wrapText="1"/>
    </xf>
    <xf numFmtId="3" fontId="36" fillId="0" borderId="22" xfId="5" applyNumberFormat="1" applyFont="1" applyFill="1" applyBorder="1" applyAlignment="1">
      <alignment vertical="center" wrapText="1"/>
    </xf>
    <xf numFmtId="3" fontId="36" fillId="0" borderId="48" xfId="5" applyNumberFormat="1" applyFont="1" applyFill="1" applyBorder="1" applyAlignment="1">
      <alignment vertical="center" wrapText="1"/>
    </xf>
    <xf numFmtId="3" fontId="36" fillId="0" borderId="40" xfId="5" applyNumberFormat="1" applyFont="1" applyFill="1" applyBorder="1" applyAlignment="1">
      <alignment vertical="center" wrapText="1"/>
    </xf>
    <xf numFmtId="3" fontId="36" fillId="0" borderId="16" xfId="5" applyNumberFormat="1" applyFont="1" applyFill="1" applyBorder="1" applyAlignment="1">
      <alignment vertical="center" wrapText="1"/>
    </xf>
    <xf numFmtId="3" fontId="36" fillId="0" borderId="34" xfId="5" applyNumberFormat="1" applyFont="1" applyFill="1" applyBorder="1" applyAlignment="1">
      <alignment vertical="center" wrapText="1"/>
    </xf>
    <xf numFmtId="3" fontId="36" fillId="0" borderId="35" xfId="5" applyNumberFormat="1" applyFont="1" applyFill="1" applyBorder="1" applyAlignment="1">
      <alignment vertical="center" wrapText="1"/>
    </xf>
    <xf numFmtId="3" fontId="36" fillId="0" borderId="43" xfId="5" applyNumberFormat="1" applyFont="1" applyFill="1" applyBorder="1" applyAlignment="1">
      <alignment vertical="center" wrapText="1"/>
    </xf>
    <xf numFmtId="3" fontId="36" fillId="0" borderId="30" xfId="5" applyNumberFormat="1" applyFont="1" applyFill="1" applyBorder="1" applyAlignment="1">
      <alignment vertical="center" wrapText="1"/>
    </xf>
    <xf numFmtId="3" fontId="36" fillId="0" borderId="65" xfId="5" applyNumberFormat="1" applyFont="1" applyFill="1" applyBorder="1" applyAlignment="1">
      <alignment vertical="center" wrapText="1"/>
    </xf>
    <xf numFmtId="0" fontId="17" fillId="0" borderId="35" xfId="2" applyBorder="1" applyAlignment="1">
      <alignment vertical="center"/>
    </xf>
    <xf numFmtId="3" fontId="36" fillId="0" borderId="0" xfId="5" applyNumberFormat="1" applyFont="1" applyFill="1" applyBorder="1" applyAlignment="1">
      <alignment vertical="center" wrapText="1"/>
    </xf>
    <xf numFmtId="3" fontId="36" fillId="0" borderId="66" xfId="5" applyNumberFormat="1" applyFont="1" applyFill="1" applyBorder="1" applyAlignment="1">
      <alignment vertical="center" wrapText="1"/>
    </xf>
    <xf numFmtId="3" fontId="36" fillId="0" borderId="67" xfId="5" applyNumberFormat="1" applyFont="1" applyFill="1" applyBorder="1" applyAlignment="1">
      <alignment vertical="center" wrapText="1"/>
    </xf>
    <xf numFmtId="3" fontId="36" fillId="0" borderId="68" xfId="5" applyNumberFormat="1" applyFont="1" applyFill="1" applyBorder="1" applyAlignment="1">
      <alignment vertical="center" wrapText="1"/>
    </xf>
    <xf numFmtId="0" fontId="37" fillId="0" borderId="40" xfId="5" applyFont="1" applyFill="1" applyBorder="1" applyAlignment="1">
      <alignment horizontal="left" vertical="center" wrapText="1" indent="2"/>
    </xf>
    <xf numFmtId="3" fontId="36" fillId="0" borderId="69" xfId="5" applyNumberFormat="1" applyFont="1" applyFill="1" applyBorder="1" applyAlignment="1">
      <alignment vertical="center" wrapText="1"/>
    </xf>
    <xf numFmtId="3" fontId="36" fillId="0" borderId="37" xfId="5" applyNumberFormat="1" applyFont="1" applyFill="1" applyBorder="1" applyAlignment="1">
      <alignment vertical="center" wrapText="1"/>
    </xf>
    <xf numFmtId="3" fontId="36" fillId="0" borderId="70" xfId="5" applyNumberFormat="1" applyFont="1" applyFill="1" applyBorder="1" applyAlignment="1">
      <alignment vertical="center" wrapText="1"/>
    </xf>
    <xf numFmtId="3" fontId="36" fillId="0" borderId="9" xfId="5" applyNumberFormat="1" applyFont="1" applyFill="1" applyBorder="1" applyAlignment="1">
      <alignment vertical="center" wrapText="1"/>
    </xf>
    <xf numFmtId="0" fontId="37" fillId="0" borderId="69" xfId="5" applyFont="1" applyFill="1" applyBorder="1" applyAlignment="1">
      <alignment horizontal="left" vertical="center" wrapText="1" indent="2"/>
    </xf>
    <xf numFmtId="0" fontId="31" fillId="8" borderId="14" xfId="5" applyFont="1" applyFill="1" applyBorder="1" applyAlignment="1">
      <alignment horizontal="left" vertical="center" wrapText="1"/>
    </xf>
    <xf numFmtId="0" fontId="31" fillId="8" borderId="14" xfId="5" applyFont="1" applyFill="1" applyBorder="1" applyAlignment="1">
      <alignment vertical="center" wrapText="1"/>
    </xf>
    <xf numFmtId="3" fontId="31" fillId="8" borderId="14" xfId="5" applyNumberFormat="1" applyFont="1" applyFill="1" applyBorder="1" applyAlignment="1">
      <alignment vertical="center" wrapText="1"/>
    </xf>
    <xf numFmtId="3" fontId="31" fillId="8" borderId="71" xfId="5" applyNumberFormat="1" applyFont="1" applyFill="1" applyBorder="1" applyAlignment="1">
      <alignment vertical="center" wrapText="1"/>
    </xf>
    <xf numFmtId="3" fontId="31" fillId="8" borderId="72" xfId="5" applyNumberFormat="1" applyFont="1" applyFill="1" applyBorder="1" applyAlignment="1">
      <alignment vertical="center" wrapText="1"/>
    </xf>
    <xf numFmtId="3" fontId="31" fillId="8" borderId="73" xfId="5" applyNumberFormat="1" applyFont="1" applyFill="1" applyBorder="1" applyAlignment="1">
      <alignment vertical="center" wrapText="1"/>
    </xf>
    <xf numFmtId="0" fontId="31" fillId="8" borderId="14" xfId="5" applyFont="1" applyFill="1" applyBorder="1" applyAlignment="1">
      <alignment horizontal="center" vertical="top" wrapText="1"/>
    </xf>
    <xf numFmtId="3" fontId="31" fillId="8" borderId="15" xfId="5" applyNumberFormat="1" applyFont="1" applyFill="1" applyBorder="1" applyAlignment="1">
      <alignment vertical="center" wrapText="1"/>
    </xf>
    <xf numFmtId="0" fontId="33" fillId="29" borderId="9" xfId="5" applyFont="1" applyFill="1" applyBorder="1" applyAlignment="1">
      <alignment horizontal="center" vertical="top" wrapText="1"/>
    </xf>
    <xf numFmtId="3" fontId="33" fillId="29" borderId="40" xfId="5" applyNumberFormat="1" applyFont="1" applyFill="1" applyBorder="1" applyAlignment="1">
      <alignment vertical="center" wrapText="1"/>
    </xf>
    <xf numFmtId="3" fontId="33" fillId="29" borderId="25" xfId="5" applyNumberFormat="1" applyFont="1" applyFill="1" applyBorder="1" applyAlignment="1">
      <alignment vertical="center" wrapText="1"/>
    </xf>
    <xf numFmtId="3" fontId="33" fillId="29" borderId="43" xfId="5" applyNumberFormat="1" applyFont="1" applyFill="1" applyBorder="1" applyAlignment="1">
      <alignment vertical="center" wrapText="1"/>
    </xf>
    <xf numFmtId="3" fontId="33" fillId="29" borderId="30" xfId="5" applyNumberFormat="1" applyFont="1" applyFill="1" applyBorder="1" applyAlignment="1">
      <alignment vertical="center" wrapText="1"/>
    </xf>
    <xf numFmtId="3" fontId="33" fillId="29" borderId="65" xfId="5" applyNumberFormat="1" applyFont="1" applyFill="1" applyBorder="1" applyAlignment="1">
      <alignment vertical="center" wrapText="1"/>
    </xf>
    <xf numFmtId="0" fontId="33" fillId="29" borderId="43" xfId="5" applyFont="1" applyFill="1" applyBorder="1" applyAlignment="1">
      <alignment horizontal="left" vertical="center" wrapText="1"/>
    </xf>
    <xf numFmtId="0" fontId="33" fillId="29" borderId="71" xfId="5" applyFont="1" applyFill="1" applyBorder="1" applyAlignment="1">
      <alignment horizontal="left" vertical="center" wrapText="1"/>
    </xf>
    <xf numFmtId="3" fontId="33" fillId="29" borderId="14" xfId="5" applyNumberFormat="1" applyFont="1" applyFill="1" applyBorder="1" applyAlignment="1">
      <alignment vertical="center" wrapText="1"/>
    </xf>
    <xf numFmtId="3" fontId="33" fillId="29" borderId="15" xfId="5" applyNumberFormat="1" applyFont="1" applyFill="1" applyBorder="1" applyAlignment="1">
      <alignment vertical="center" wrapText="1"/>
    </xf>
    <xf numFmtId="3" fontId="33" fillId="29" borderId="71" xfId="5" applyNumberFormat="1" applyFont="1" applyFill="1" applyBorder="1" applyAlignment="1">
      <alignment vertical="center" wrapText="1"/>
    </xf>
    <xf numFmtId="3" fontId="33" fillId="29" borderId="72" xfId="5" applyNumberFormat="1" applyFont="1" applyFill="1" applyBorder="1" applyAlignment="1">
      <alignment vertical="center" wrapText="1"/>
    </xf>
    <xf numFmtId="3" fontId="33" fillId="29" borderId="73" xfId="5" applyNumberFormat="1" applyFont="1" applyFill="1" applyBorder="1" applyAlignment="1">
      <alignment vertical="center" wrapText="1"/>
    </xf>
    <xf numFmtId="0" fontId="33" fillId="29" borderId="14" xfId="5" applyFont="1" applyFill="1" applyBorder="1" applyAlignment="1">
      <alignment vertical="center" wrapText="1"/>
    </xf>
    <xf numFmtId="0" fontId="36" fillId="0" borderId="34" xfId="5" applyFont="1" applyFill="1" applyBorder="1" applyAlignment="1">
      <alignment horizontal="left" vertical="center" wrapText="1" indent="2"/>
    </xf>
    <xf numFmtId="0" fontId="36" fillId="0" borderId="43" xfId="5" applyFont="1" applyFill="1" applyBorder="1" applyAlignment="1">
      <alignment horizontal="left" vertical="center" wrapText="1" indent="2"/>
    </xf>
    <xf numFmtId="0" fontId="36" fillId="0" borderId="9" xfId="5" applyFont="1" applyFill="1" applyBorder="1" applyAlignment="1">
      <alignment vertical="center" wrapText="1"/>
    </xf>
    <xf numFmtId="0" fontId="36" fillId="0" borderId="44" xfId="5" applyFont="1" applyFill="1" applyBorder="1" applyAlignment="1">
      <alignment vertical="center" wrapText="1"/>
    </xf>
    <xf numFmtId="0" fontId="36" fillId="0" borderId="43" xfId="5" applyFont="1" applyFill="1" applyBorder="1" applyAlignment="1">
      <alignment horizontal="left" vertical="center" wrapText="1"/>
    </xf>
    <xf numFmtId="10" fontId="31" fillId="12" borderId="15" xfId="3" applyNumberFormat="1" applyFont="1" applyFill="1" applyBorder="1" applyAlignment="1">
      <alignment vertical="center" wrapText="1"/>
    </xf>
    <xf numFmtId="10" fontId="36" fillId="15" borderId="12" xfId="3" applyNumberFormat="1" applyFont="1" applyFill="1" applyBorder="1" applyAlignment="1">
      <alignment horizontal="center" vertical="top" wrapText="1"/>
    </xf>
    <xf numFmtId="10" fontId="30" fillId="0" borderId="0" xfId="3" applyNumberFormat="1" applyFont="1" applyFill="1" applyAlignment="1">
      <alignment vertical="center" wrapText="1"/>
    </xf>
    <xf numFmtId="10" fontId="33" fillId="0" borderId="0" xfId="3" applyNumberFormat="1" applyFont="1" applyFill="1" applyBorder="1" applyAlignment="1">
      <alignment horizontal="center" vertical="center" wrapText="1"/>
    </xf>
    <xf numFmtId="10" fontId="33" fillId="0" borderId="0" xfId="3" applyNumberFormat="1" applyFont="1" applyFill="1" applyBorder="1" applyAlignment="1">
      <alignment horizontal="left" vertical="center" wrapText="1"/>
    </xf>
    <xf numFmtId="10" fontId="33" fillId="29" borderId="5" xfId="5" applyNumberFormat="1" applyFont="1" applyFill="1" applyBorder="1" applyAlignment="1">
      <alignment horizontal="center" vertical="top" wrapText="1"/>
    </xf>
    <xf numFmtId="10" fontId="31" fillId="8" borderId="12" xfId="5" applyNumberFormat="1" applyFont="1" applyFill="1" applyBorder="1" applyAlignment="1">
      <alignment horizontal="center" vertical="top" wrapText="1"/>
    </xf>
    <xf numFmtId="3" fontId="31" fillId="8" borderId="14" xfId="5" applyNumberFormat="1" applyFont="1" applyFill="1" applyBorder="1" applyAlignment="1">
      <alignment horizontal="center" vertical="center" wrapText="1"/>
    </xf>
    <xf numFmtId="3" fontId="33" fillId="29" borderId="40" xfId="5" applyNumberFormat="1" applyFont="1" applyFill="1" applyBorder="1" applyAlignment="1">
      <alignment horizontal="center" vertical="center" wrapText="1"/>
    </xf>
    <xf numFmtId="3" fontId="36" fillId="0" borderId="41" xfId="5" applyNumberFormat="1" applyFont="1" applyFill="1" applyBorder="1" applyAlignment="1">
      <alignment horizontal="center" vertical="center" wrapText="1"/>
    </xf>
    <xf numFmtId="10" fontId="36" fillId="0" borderId="42" xfId="3" applyNumberFormat="1" applyFont="1" applyFill="1" applyBorder="1" applyAlignment="1">
      <alignment horizontal="center" vertical="center" wrapText="1"/>
    </xf>
    <xf numFmtId="3" fontId="37" fillId="0" borderId="41" xfId="5" applyNumberFormat="1" applyFont="1" applyFill="1" applyBorder="1" applyAlignment="1">
      <alignment horizontal="center" vertical="center" wrapText="1"/>
    </xf>
    <xf numFmtId="3" fontId="37" fillId="0" borderId="42" xfId="5" applyNumberFormat="1" applyFont="1" applyFill="1" applyBorder="1" applyAlignment="1">
      <alignment horizontal="center" vertical="center" wrapText="1"/>
    </xf>
    <xf numFmtId="10" fontId="37" fillId="0" borderId="41" xfId="3" applyNumberFormat="1" applyFont="1" applyFill="1" applyBorder="1" applyAlignment="1">
      <alignment horizontal="center" vertical="center" wrapText="1"/>
    </xf>
    <xf numFmtId="9" fontId="37" fillId="0" borderId="42" xfId="3" applyFont="1" applyFill="1" applyBorder="1" applyAlignment="1">
      <alignment horizontal="center" vertical="center" wrapText="1"/>
    </xf>
    <xf numFmtId="9" fontId="37" fillId="0" borderId="41" xfId="3" applyFont="1" applyFill="1" applyBorder="1" applyAlignment="1">
      <alignment horizontal="center" vertical="center" wrapText="1"/>
    </xf>
    <xf numFmtId="3" fontId="37" fillId="0" borderId="44" xfId="5" applyNumberFormat="1" applyFont="1" applyFill="1" applyBorder="1" applyAlignment="1">
      <alignment horizontal="center" vertical="center" wrapText="1"/>
    </xf>
    <xf numFmtId="3" fontId="37" fillId="0" borderId="45" xfId="5" applyNumberFormat="1" applyFont="1" applyFill="1" applyBorder="1" applyAlignment="1">
      <alignment horizontal="center" vertical="center" wrapText="1"/>
    </xf>
    <xf numFmtId="10" fontId="37" fillId="0" borderId="44" xfId="3" applyNumberFormat="1" applyFont="1" applyFill="1" applyBorder="1" applyAlignment="1">
      <alignment horizontal="center" vertical="center" wrapText="1"/>
    </xf>
    <xf numFmtId="3" fontId="33" fillId="29" borderId="14" xfId="5" applyNumberFormat="1" applyFont="1" applyFill="1" applyBorder="1" applyAlignment="1">
      <alignment horizontal="center" vertical="center" wrapText="1"/>
    </xf>
    <xf numFmtId="10" fontId="33" fillId="29" borderId="12" xfId="3" applyNumberFormat="1" applyFont="1" applyFill="1" applyBorder="1" applyAlignment="1">
      <alignment horizontal="center" vertical="center" wrapText="1"/>
    </xf>
    <xf numFmtId="10" fontId="33" fillId="29" borderId="14" xfId="3" applyNumberFormat="1" applyFont="1" applyFill="1" applyBorder="1" applyAlignment="1">
      <alignment horizontal="center" vertical="center" wrapText="1"/>
    </xf>
    <xf numFmtId="3" fontId="36" fillId="0" borderId="9" xfId="5" applyNumberFormat="1" applyFont="1" applyFill="1" applyBorder="1" applyAlignment="1">
      <alignment horizontal="center" vertical="center" wrapText="1"/>
    </xf>
    <xf numFmtId="169" fontId="36" fillId="0" borderId="5" xfId="3" applyNumberFormat="1" applyFont="1" applyFill="1" applyBorder="1" applyAlignment="1">
      <alignment horizontal="center" vertical="center" wrapText="1"/>
    </xf>
    <xf numFmtId="10" fontId="36" fillId="0" borderId="9" xfId="3" applyNumberFormat="1" applyFont="1" applyFill="1" applyBorder="1" applyAlignment="1">
      <alignment horizontal="center" vertical="center" wrapText="1"/>
    </xf>
    <xf numFmtId="9" fontId="37" fillId="0" borderId="44" xfId="3" applyFont="1" applyFill="1" applyBorder="1" applyAlignment="1">
      <alignment horizontal="center" vertical="center" wrapText="1"/>
    </xf>
    <xf numFmtId="3" fontId="36" fillId="0" borderId="44" xfId="5" applyNumberFormat="1" applyFont="1" applyFill="1" applyBorder="1" applyAlignment="1">
      <alignment horizontal="center" vertical="center" wrapText="1"/>
    </xf>
    <xf numFmtId="10" fontId="36" fillId="0" borderId="45" xfId="3" applyNumberFormat="1" applyFont="1" applyFill="1" applyBorder="1" applyAlignment="1">
      <alignment horizontal="center" vertical="center" wrapText="1"/>
    </xf>
    <xf numFmtId="10" fontId="36" fillId="0" borderId="44" xfId="3" applyNumberFormat="1" applyFont="1" applyFill="1" applyBorder="1" applyAlignment="1">
      <alignment horizontal="center" vertical="center" wrapText="1"/>
    </xf>
    <xf numFmtId="0" fontId="37" fillId="0" borderId="40" xfId="5" applyFont="1" applyFill="1" applyBorder="1" applyAlignment="1">
      <alignment horizontal="center" vertical="center" wrapText="1"/>
    </xf>
    <xf numFmtId="10" fontId="37" fillId="0" borderId="40" xfId="3" applyNumberFormat="1" applyFont="1" applyFill="1" applyBorder="1" applyAlignment="1">
      <alignment horizontal="center" vertical="center" wrapText="1"/>
    </xf>
    <xf numFmtId="0" fontId="37" fillId="0" borderId="44" xfId="5" applyFont="1" applyFill="1" applyBorder="1" applyAlignment="1">
      <alignment horizontal="center" vertical="center" wrapText="1"/>
    </xf>
    <xf numFmtId="0" fontId="33" fillId="29" borderId="14" xfId="5" applyFont="1" applyFill="1" applyBorder="1" applyAlignment="1">
      <alignment horizontal="center" vertical="center" wrapText="1"/>
    </xf>
    <xf numFmtId="10" fontId="33" fillId="29" borderId="14" xfId="5" applyNumberFormat="1" applyFont="1" applyFill="1" applyBorder="1" applyAlignment="1">
      <alignment horizontal="center" vertical="center" wrapText="1"/>
    </xf>
    <xf numFmtId="0" fontId="36" fillId="0" borderId="9" xfId="5" applyFont="1" applyFill="1" applyBorder="1" applyAlignment="1">
      <alignment horizontal="center" vertical="center" wrapText="1"/>
    </xf>
    <xf numFmtId="10" fontId="36" fillId="0" borderId="9" xfId="5" applyNumberFormat="1" applyFont="1" applyFill="1" applyBorder="1" applyAlignment="1">
      <alignment horizontal="center" vertical="center" wrapText="1"/>
    </xf>
    <xf numFmtId="0" fontId="31" fillId="8" borderId="14" xfId="5" applyFont="1" applyFill="1" applyBorder="1" applyAlignment="1">
      <alignment horizontal="center" vertical="center" wrapText="1"/>
    </xf>
    <xf numFmtId="10" fontId="31" fillId="8" borderId="14" xfId="5" applyNumberFormat="1" applyFont="1" applyFill="1" applyBorder="1" applyAlignment="1">
      <alignment horizontal="center" vertical="center" wrapText="1"/>
    </xf>
    <xf numFmtId="0" fontId="36" fillId="0" borderId="44" xfId="5" applyFont="1" applyFill="1" applyBorder="1" applyAlignment="1">
      <alignment horizontal="center" vertical="center" wrapText="1"/>
    </xf>
    <xf numFmtId="10" fontId="36" fillId="0" borderId="44" xfId="5" applyNumberFormat="1" applyFont="1" applyFill="1" applyBorder="1" applyAlignment="1">
      <alignment horizontal="center" vertical="center" wrapText="1"/>
    </xf>
    <xf numFmtId="9" fontId="37" fillId="0" borderId="44" xfId="5" applyNumberFormat="1" applyFont="1" applyFill="1" applyBorder="1" applyAlignment="1">
      <alignment horizontal="center" vertical="center" wrapText="1"/>
    </xf>
    <xf numFmtId="10" fontId="37" fillId="0" borderId="44" xfId="5" applyNumberFormat="1" applyFont="1" applyFill="1" applyBorder="1" applyAlignment="1">
      <alignment horizontal="center" vertical="center" wrapText="1"/>
    </xf>
    <xf numFmtId="9" fontId="37" fillId="0" borderId="44" xfId="3" applyNumberFormat="1" applyFont="1" applyFill="1" applyBorder="1" applyAlignment="1">
      <alignment horizontal="center" vertical="center" wrapText="1"/>
    </xf>
    <xf numFmtId="0" fontId="36" fillId="0" borderId="22" xfId="5" applyFont="1" applyFill="1" applyBorder="1" applyAlignment="1">
      <alignment horizontal="center" vertical="center" wrapText="1"/>
    </xf>
    <xf numFmtId="9" fontId="33" fillId="29" borderId="14" xfId="5" applyNumberFormat="1" applyFont="1" applyFill="1" applyBorder="1" applyAlignment="1">
      <alignment horizontal="center" vertical="center" wrapText="1"/>
    </xf>
    <xf numFmtId="9" fontId="36" fillId="0" borderId="9" xfId="5" applyNumberFormat="1" applyFont="1" applyFill="1" applyBorder="1" applyAlignment="1">
      <alignment horizontal="center" vertical="center" wrapText="1"/>
    </xf>
    <xf numFmtId="0" fontId="37" fillId="0" borderId="44" xfId="5" applyNumberFormat="1" applyFont="1" applyFill="1" applyBorder="1" applyAlignment="1">
      <alignment horizontal="center" vertical="center" wrapText="1"/>
    </xf>
    <xf numFmtId="9" fontId="36" fillId="0" borderId="44" xfId="5" applyNumberFormat="1" applyFont="1" applyFill="1" applyBorder="1" applyAlignment="1">
      <alignment horizontal="center" vertical="center" wrapText="1"/>
    </xf>
    <xf numFmtId="4" fontId="33" fillId="29" borderId="12" xfId="5" applyNumberFormat="1" applyFont="1" applyFill="1" applyBorder="1" applyAlignment="1">
      <alignment vertical="center" wrapText="1"/>
    </xf>
    <xf numFmtId="10" fontId="33" fillId="29" borderId="12" xfId="3" applyNumberFormat="1" applyFont="1" applyFill="1" applyBorder="1" applyAlignment="1">
      <alignment vertical="center" wrapText="1"/>
    </xf>
    <xf numFmtId="10" fontId="34" fillId="13" borderId="7" xfId="5" applyNumberFormat="1" applyFont="1" applyFill="1" applyBorder="1" applyAlignment="1">
      <alignment horizontal="center" vertical="center" wrapText="1"/>
    </xf>
    <xf numFmtId="0" fontId="37" fillId="9" borderId="44" xfId="5" applyFont="1" applyFill="1" applyBorder="1" applyAlignment="1">
      <alignment horizontal="center" vertical="center" wrapText="1"/>
    </xf>
    <xf numFmtId="9" fontId="37" fillId="9" borderId="44" xfId="5" applyNumberFormat="1" applyFont="1" applyFill="1" applyBorder="1" applyAlignment="1">
      <alignment horizontal="center" vertical="center" wrapText="1"/>
    </xf>
    <xf numFmtId="9" fontId="37" fillId="9" borderId="44" xfId="3" applyFont="1" applyFill="1" applyBorder="1" applyAlignment="1">
      <alignment horizontal="center" vertical="center" wrapText="1"/>
    </xf>
    <xf numFmtId="0" fontId="47" fillId="19" borderId="56" xfId="5" applyFont="1" applyFill="1" applyBorder="1" applyAlignment="1">
      <alignment horizontal="left" vertical="center"/>
    </xf>
    <xf numFmtId="49" fontId="45" fillId="0" borderId="0" xfId="5" applyNumberFormat="1" applyFont="1" applyAlignment="1">
      <alignment horizontal="center" vertical="center"/>
    </xf>
    <xf numFmtId="0" fontId="45" fillId="20" borderId="56" xfId="5" applyFont="1" applyFill="1" applyBorder="1" applyAlignment="1">
      <alignment horizontal="left" vertical="center"/>
    </xf>
    <xf numFmtId="0" fontId="45" fillId="21" borderId="56" xfId="5" applyFont="1" applyFill="1" applyBorder="1" applyAlignment="1">
      <alignment horizontal="left" vertical="center"/>
    </xf>
    <xf numFmtId="0" fontId="45" fillId="22" borderId="56" xfId="5" applyFont="1" applyFill="1" applyBorder="1" applyAlignment="1">
      <alignment horizontal="left" vertical="center"/>
    </xf>
    <xf numFmtId="0" fontId="45" fillId="0" borderId="56" xfId="5" applyFont="1" applyBorder="1" applyAlignment="1">
      <alignment horizontal="left" vertical="center"/>
    </xf>
    <xf numFmtId="0" fontId="47" fillId="0" borderId="56" xfId="5" applyFont="1" applyBorder="1" applyAlignment="1">
      <alignment horizontal="left" vertical="center"/>
    </xf>
    <xf numFmtId="49" fontId="47" fillId="0" borderId="0" xfId="5" applyNumberFormat="1" applyFont="1" applyAlignment="1">
      <alignment horizontal="center" vertical="center"/>
    </xf>
    <xf numFmtId="0" fontId="45" fillId="9" borderId="56" xfId="5" applyFont="1" applyFill="1" applyBorder="1" applyAlignment="1">
      <alignment horizontal="left" vertical="center"/>
    </xf>
    <xf numFmtId="0" fontId="47" fillId="9" borderId="56" xfId="5" applyFont="1" applyFill="1" applyBorder="1" applyAlignment="1">
      <alignment horizontal="left" vertical="center"/>
    </xf>
    <xf numFmtId="168" fontId="33" fillId="24" borderId="63" xfId="4" applyNumberFormat="1" applyFont="1" applyFill="1" applyBorder="1" applyAlignment="1">
      <alignment horizontal="center"/>
    </xf>
    <xf numFmtId="168" fontId="33" fillId="25" borderId="63" xfId="4" applyNumberFormat="1" applyFont="1" applyFill="1" applyBorder="1" applyAlignment="1">
      <alignment horizontal="center"/>
    </xf>
    <xf numFmtId="168" fontId="30" fillId="0" borderId="63" xfId="4" applyNumberFormat="1" applyFont="1" applyBorder="1" applyAlignment="1">
      <alignment horizontal="center"/>
    </xf>
    <xf numFmtId="168" fontId="33" fillId="26" borderId="63" xfId="4" applyNumberFormat="1" applyFont="1" applyFill="1" applyBorder="1" applyAlignment="1">
      <alignment horizontal="center"/>
    </xf>
    <xf numFmtId="168" fontId="30" fillId="0" borderId="63" xfId="4" applyNumberFormat="1" applyFont="1" applyFill="1" applyBorder="1" applyAlignment="1">
      <alignment horizontal="center"/>
    </xf>
    <xf numFmtId="0" fontId="48" fillId="0" borderId="63" xfId="0" applyFont="1" applyBorder="1" applyAlignment="1">
      <alignment horizontal="center" vertical="center"/>
    </xf>
    <xf numFmtId="0" fontId="33" fillId="0" borderId="63" xfId="0" applyFont="1" applyBorder="1"/>
    <xf numFmtId="168" fontId="33" fillId="0" borderId="63" xfId="4" applyNumberFormat="1" applyFont="1" applyFill="1" applyBorder="1" applyAlignment="1">
      <alignment horizontal="center"/>
    </xf>
    <xf numFmtId="168" fontId="30" fillId="26" borderId="63" xfId="4" applyNumberFormat="1" applyFont="1" applyFill="1" applyBorder="1" applyAlignment="1">
      <alignment horizontal="center"/>
    </xf>
    <xf numFmtId="168" fontId="33" fillId="25" borderId="63" xfId="4" applyNumberFormat="1" applyFont="1" applyFill="1" applyBorder="1"/>
    <xf numFmtId="168" fontId="33" fillId="26" borderId="63" xfId="4" applyNumberFormat="1" applyFont="1" applyFill="1" applyBorder="1"/>
    <xf numFmtId="168" fontId="30" fillId="0" borderId="63" xfId="4" applyNumberFormat="1" applyFont="1" applyBorder="1"/>
    <xf numFmtId="168" fontId="30" fillId="25" borderId="63" xfId="4" applyNumberFormat="1" applyFont="1" applyFill="1" applyBorder="1" applyAlignment="1">
      <alignment horizontal="center"/>
    </xf>
    <xf numFmtId="168" fontId="52" fillId="25" borderId="63" xfId="4" applyNumberFormat="1" applyFont="1" applyFill="1" applyBorder="1" applyAlignment="1">
      <alignment horizontal="center" vertical="center"/>
    </xf>
    <xf numFmtId="168" fontId="55" fillId="27" borderId="63" xfId="4" applyNumberFormat="1" applyFont="1" applyFill="1" applyBorder="1" applyAlignment="1">
      <alignment vertical="center" wrapText="1"/>
    </xf>
    <xf numFmtId="9" fontId="36" fillId="0" borderId="9" xfId="3" applyFont="1" applyFill="1" applyBorder="1" applyAlignment="1">
      <alignment horizontal="center" vertical="center" wrapText="1"/>
    </xf>
    <xf numFmtId="3" fontId="37" fillId="0" borderId="9" xfId="5" applyNumberFormat="1" applyFont="1" applyFill="1" applyBorder="1" applyAlignment="1">
      <alignment horizontal="center" vertical="center" wrapText="1"/>
    </xf>
    <xf numFmtId="3" fontId="37" fillId="0" borderId="5" xfId="5" applyNumberFormat="1" applyFont="1" applyFill="1" applyBorder="1" applyAlignment="1">
      <alignment horizontal="center" vertical="center" wrapText="1"/>
    </xf>
    <xf numFmtId="10" fontId="37" fillId="0" borderId="9" xfId="3" applyNumberFormat="1" applyFont="1" applyFill="1" applyBorder="1" applyAlignment="1">
      <alignment horizontal="center" vertical="center" wrapText="1"/>
    </xf>
    <xf numFmtId="3" fontId="37" fillId="9" borderId="41" xfId="5" applyNumberFormat="1" applyFont="1" applyFill="1" applyBorder="1" applyAlignment="1">
      <alignment horizontal="center" vertical="center" wrapText="1"/>
    </xf>
    <xf numFmtId="3" fontId="37" fillId="0" borderId="40" xfId="5" applyNumberFormat="1" applyFont="1" applyFill="1" applyBorder="1" applyAlignment="1">
      <alignment horizontal="center" vertical="center" wrapText="1"/>
    </xf>
    <xf numFmtId="0" fontId="37" fillId="0" borderId="43" xfId="5" applyFont="1" applyFill="1" applyBorder="1" applyAlignment="1">
      <alignment horizontal="left" vertical="center" wrapText="1" indent="2"/>
    </xf>
    <xf numFmtId="0" fontId="37" fillId="0" borderId="66" xfId="5" applyFont="1" applyFill="1" applyBorder="1" applyAlignment="1">
      <alignment horizontal="left" vertical="center" wrapText="1" indent="2"/>
    </xf>
    <xf numFmtId="10" fontId="37" fillId="9" borderId="44" xfId="3" applyNumberFormat="1" applyFont="1" applyFill="1" applyBorder="1" applyAlignment="1">
      <alignment horizontal="center" vertical="center" wrapText="1"/>
    </xf>
    <xf numFmtId="0" fontId="37" fillId="0" borderId="44" xfId="5" applyFont="1" applyFill="1" applyBorder="1" applyAlignment="1">
      <alignment horizontal="justify" vertical="top" wrapText="1"/>
    </xf>
    <xf numFmtId="0" fontId="31" fillId="12" borderId="15" xfId="5" applyFont="1" applyFill="1" applyBorder="1" applyAlignment="1">
      <alignment vertical="top" wrapText="1"/>
    </xf>
    <xf numFmtId="3" fontId="36" fillId="0" borderId="41" xfId="5" applyNumberFormat="1" applyFont="1" applyFill="1" applyBorder="1" applyAlignment="1">
      <alignment horizontal="center" vertical="top" wrapText="1"/>
    </xf>
    <xf numFmtId="3" fontId="37" fillId="0" borderId="41" xfId="5" applyNumberFormat="1" applyFont="1" applyFill="1" applyBorder="1" applyAlignment="1">
      <alignment horizontal="center" vertical="top" wrapText="1"/>
    </xf>
    <xf numFmtId="3" fontId="37" fillId="0" borderId="41" xfId="5" applyNumberFormat="1" applyFont="1" applyFill="1" applyBorder="1" applyAlignment="1">
      <alignment horizontal="justify" vertical="top" wrapText="1"/>
    </xf>
    <xf numFmtId="3" fontId="36" fillId="0" borderId="41" xfId="5" applyNumberFormat="1" applyFont="1" applyFill="1" applyBorder="1" applyAlignment="1">
      <alignment horizontal="justify" vertical="top" wrapText="1"/>
    </xf>
    <xf numFmtId="3" fontId="37" fillId="0" borderId="44" xfId="5" applyNumberFormat="1" applyFont="1" applyFill="1" applyBorder="1" applyAlignment="1">
      <alignment horizontal="justify" vertical="top" wrapText="1"/>
    </xf>
    <xf numFmtId="3" fontId="37" fillId="0" borderId="9" xfId="5" applyNumberFormat="1" applyFont="1" applyFill="1" applyBorder="1" applyAlignment="1">
      <alignment horizontal="justify" vertical="top" wrapText="1"/>
    </xf>
    <xf numFmtId="3" fontId="33" fillId="29" borderId="14" xfId="5" applyNumberFormat="1" applyFont="1" applyFill="1" applyBorder="1" applyAlignment="1">
      <alignment horizontal="justify" vertical="top" wrapText="1"/>
    </xf>
    <xf numFmtId="3" fontId="36" fillId="0" borderId="9" xfId="5" applyNumberFormat="1" applyFont="1" applyFill="1" applyBorder="1" applyAlignment="1">
      <alignment horizontal="justify" vertical="top" wrapText="1"/>
    </xf>
    <xf numFmtId="3" fontId="36" fillId="0" borderId="44" xfId="5" applyNumberFormat="1" applyFont="1" applyFill="1" applyBorder="1" applyAlignment="1">
      <alignment horizontal="justify" vertical="top" wrapText="1"/>
    </xf>
    <xf numFmtId="3" fontId="37" fillId="0" borderId="40" xfId="5" applyNumberFormat="1" applyFont="1" applyFill="1" applyBorder="1" applyAlignment="1">
      <alignment horizontal="justify" vertical="top" wrapText="1"/>
    </xf>
    <xf numFmtId="0" fontId="37" fillId="0" borderId="40" xfId="5" applyFont="1" applyFill="1" applyBorder="1" applyAlignment="1">
      <alignment horizontal="justify" vertical="top" wrapText="1"/>
    </xf>
    <xf numFmtId="0" fontId="33" fillId="29" borderId="14" xfId="5" applyFont="1" applyFill="1" applyBorder="1" applyAlignment="1">
      <alignment horizontal="justify" vertical="top" wrapText="1"/>
    </xf>
    <xf numFmtId="0" fontId="36" fillId="0" borderId="9" xfId="5" applyFont="1" applyFill="1" applyBorder="1" applyAlignment="1">
      <alignment horizontal="justify" vertical="top" wrapText="1"/>
    </xf>
    <xf numFmtId="0" fontId="31" fillId="8" borderId="14" xfId="5" applyFont="1" applyFill="1" applyBorder="1" applyAlignment="1">
      <alignment horizontal="justify" vertical="top" wrapText="1"/>
    </xf>
    <xf numFmtId="0" fontId="36" fillId="0" borderId="44" xfId="5" applyFont="1" applyFill="1" applyBorder="1" applyAlignment="1">
      <alignment horizontal="justify" vertical="top" wrapText="1"/>
    </xf>
    <xf numFmtId="9" fontId="37" fillId="0" borderId="44" xfId="5" applyNumberFormat="1" applyFont="1" applyFill="1" applyBorder="1" applyAlignment="1">
      <alignment horizontal="justify" vertical="top" wrapText="1"/>
    </xf>
    <xf numFmtId="0" fontId="37" fillId="0" borderId="44" xfId="5" applyFont="1" applyFill="1" applyBorder="1" applyAlignment="1">
      <alignment horizontal="center" vertical="top" wrapText="1"/>
    </xf>
    <xf numFmtId="0" fontId="34" fillId="13" borderId="7" xfId="5" applyFont="1" applyFill="1" applyBorder="1" applyAlignment="1">
      <alignment horizontal="center" vertical="top" wrapText="1"/>
    </xf>
    <xf numFmtId="0" fontId="30" fillId="0" borderId="0" xfId="5" applyFont="1" applyFill="1" applyAlignment="1">
      <alignment vertical="top" wrapText="1"/>
    </xf>
    <xf numFmtId="0" fontId="33" fillId="0" borderId="0" xfId="5" applyFont="1" applyFill="1" applyBorder="1" applyAlignment="1">
      <alignment horizontal="center" vertical="top" wrapText="1"/>
    </xf>
    <xf numFmtId="0" fontId="33" fillId="0" borderId="0" xfId="5" applyFont="1" applyFill="1" applyBorder="1" applyAlignment="1">
      <alignment horizontal="left" vertical="top" wrapText="1"/>
    </xf>
    <xf numFmtId="9" fontId="33" fillId="0" borderId="0" xfId="3" applyFont="1" applyFill="1" applyBorder="1" applyAlignment="1">
      <alignment horizontal="center" vertical="center" wrapText="1"/>
    </xf>
    <xf numFmtId="9" fontId="36" fillId="16" borderId="14" xfId="3" applyFont="1" applyFill="1" applyBorder="1" applyAlignment="1">
      <alignment horizontal="center" vertical="top" wrapText="1"/>
    </xf>
    <xf numFmtId="1" fontId="36" fillId="16" borderId="12" xfId="3" applyNumberFormat="1" applyFont="1" applyFill="1" applyBorder="1" applyAlignment="1">
      <alignment horizontal="center" vertical="top" wrapText="1"/>
    </xf>
    <xf numFmtId="1" fontId="34" fillId="13" borderId="7" xfId="3" applyNumberFormat="1" applyFont="1" applyFill="1" applyBorder="1" applyAlignment="1">
      <alignment horizontal="center" vertical="center" wrapText="1"/>
    </xf>
    <xf numFmtId="1" fontId="33" fillId="0" borderId="0" xfId="3" applyNumberFormat="1" applyFont="1" applyFill="1" applyBorder="1" applyAlignment="1">
      <alignment horizontal="center" vertical="center" wrapText="1"/>
    </xf>
    <xf numFmtId="9" fontId="36" fillId="16" borderId="12" xfId="3" applyFont="1" applyFill="1" applyBorder="1" applyAlignment="1">
      <alignment horizontal="center" vertical="top" wrapText="1"/>
    </xf>
    <xf numFmtId="9" fontId="31" fillId="8" borderId="12" xfId="3" applyFont="1" applyFill="1" applyBorder="1" applyAlignment="1">
      <alignment horizontal="center" vertical="top" wrapText="1"/>
    </xf>
    <xf numFmtId="9" fontId="33" fillId="29" borderId="5" xfId="3" applyFont="1" applyFill="1" applyBorder="1" applyAlignment="1">
      <alignment horizontal="center" vertical="top" wrapText="1"/>
    </xf>
    <xf numFmtId="9" fontId="33" fillId="29" borderId="12" xfId="3" applyFont="1" applyFill="1" applyBorder="1" applyAlignment="1">
      <alignment horizontal="center" vertical="center" wrapText="1"/>
    </xf>
    <xf numFmtId="9" fontId="36" fillId="0" borderId="5" xfId="3" applyFont="1" applyFill="1" applyBorder="1" applyAlignment="1">
      <alignment horizontal="center" vertical="center" wrapText="1"/>
    </xf>
    <xf numFmtId="9" fontId="37" fillId="0" borderId="45" xfId="3" applyFont="1" applyFill="1" applyBorder="1" applyAlignment="1">
      <alignment horizontal="center" vertical="center" wrapText="1"/>
    </xf>
    <xf numFmtId="9" fontId="36" fillId="0" borderId="45" xfId="3" applyFont="1" applyFill="1" applyBorder="1" applyAlignment="1">
      <alignment horizontal="center" vertical="center" wrapText="1"/>
    </xf>
    <xf numFmtId="9" fontId="37" fillId="0" borderId="49" xfId="3" applyFont="1" applyFill="1" applyBorder="1" applyAlignment="1">
      <alignment horizontal="center" vertical="center" wrapText="1"/>
    </xf>
    <xf numFmtId="9" fontId="31" fillId="12" borderId="15" xfId="3" applyFont="1" applyFill="1" applyBorder="1" applyAlignment="1">
      <alignment horizontal="center" vertical="center" wrapText="1"/>
    </xf>
    <xf numFmtId="9" fontId="36" fillId="0" borderId="42" xfId="3" applyFont="1" applyFill="1" applyBorder="1" applyAlignment="1">
      <alignment horizontal="center" vertical="center" wrapText="1"/>
    </xf>
    <xf numFmtId="9" fontId="31" fillId="8" borderId="12" xfId="3" applyFont="1" applyFill="1" applyBorder="1" applyAlignment="1">
      <alignment horizontal="center" vertical="center" wrapText="1"/>
    </xf>
    <xf numFmtId="9" fontId="37" fillId="13" borderId="12" xfId="3" applyFont="1" applyFill="1" applyBorder="1" applyAlignment="1">
      <alignment horizontal="center" vertical="center" wrapText="1"/>
    </xf>
    <xf numFmtId="9" fontId="30" fillId="0" borderId="0" xfId="3" applyFont="1" applyFill="1" applyAlignment="1">
      <alignment horizontal="center" vertical="center" wrapText="1"/>
    </xf>
    <xf numFmtId="9" fontId="36" fillId="0" borderId="42" xfId="3" applyNumberFormat="1" applyFont="1" applyFill="1" applyBorder="1" applyAlignment="1">
      <alignment horizontal="center" vertical="center" wrapText="1"/>
    </xf>
    <xf numFmtId="9" fontId="36" fillId="0" borderId="44" xfId="3" applyFont="1" applyFill="1" applyBorder="1" applyAlignment="1">
      <alignment horizontal="center" vertical="center" wrapText="1"/>
    </xf>
    <xf numFmtId="10" fontId="37" fillId="0" borderId="44" xfId="5" applyNumberFormat="1" applyFont="1" applyFill="1" applyBorder="1" applyAlignment="1">
      <alignment horizontal="justify" vertical="top" wrapText="1"/>
    </xf>
    <xf numFmtId="1" fontId="31" fillId="12" borderId="15" xfId="3" applyNumberFormat="1" applyFont="1" applyFill="1" applyBorder="1" applyAlignment="1">
      <alignment horizontal="center" vertical="center" wrapText="1"/>
    </xf>
    <xf numFmtId="1" fontId="31" fillId="8" borderId="12" xfId="3" applyNumberFormat="1" applyFont="1" applyFill="1" applyBorder="1" applyAlignment="1">
      <alignment horizontal="center" vertical="center" wrapText="1"/>
    </xf>
    <xf numFmtId="1" fontId="33" fillId="29" borderId="5" xfId="3" applyNumberFormat="1" applyFont="1" applyFill="1" applyBorder="1" applyAlignment="1">
      <alignment horizontal="center" vertical="center" wrapText="1"/>
    </xf>
    <xf numFmtId="1" fontId="36" fillId="0" borderId="42" xfId="3" applyNumberFormat="1" applyFont="1" applyFill="1" applyBorder="1" applyAlignment="1">
      <alignment horizontal="center" vertical="center" wrapText="1"/>
    </xf>
    <xf numFmtId="1" fontId="37" fillId="0" borderId="42" xfId="3" applyNumberFormat="1" applyFont="1" applyFill="1" applyBorder="1" applyAlignment="1">
      <alignment horizontal="center" vertical="center" wrapText="1"/>
    </xf>
    <xf numFmtId="9" fontId="37" fillId="0" borderId="19" xfId="3" applyFont="1" applyFill="1" applyBorder="1" applyAlignment="1">
      <alignment horizontal="center" vertical="center" wrapText="1"/>
    </xf>
    <xf numFmtId="9" fontId="37" fillId="0" borderId="42" xfId="3" applyNumberFormat="1" applyFont="1" applyFill="1" applyBorder="1" applyAlignment="1">
      <alignment horizontal="center" vertical="center" wrapText="1"/>
    </xf>
    <xf numFmtId="1" fontId="37" fillId="0" borderId="45" xfId="3" applyNumberFormat="1" applyFont="1" applyFill="1" applyBorder="1" applyAlignment="1">
      <alignment horizontal="center" vertical="center" wrapText="1"/>
    </xf>
    <xf numFmtId="9" fontId="37" fillId="0" borderId="22" xfId="3" applyFont="1" applyFill="1" applyBorder="1" applyAlignment="1">
      <alignment horizontal="center" vertical="center" wrapText="1"/>
    </xf>
    <xf numFmtId="1" fontId="33" fillId="29" borderId="12" xfId="3" applyNumberFormat="1" applyFont="1" applyFill="1" applyBorder="1" applyAlignment="1">
      <alignment horizontal="center" vertical="center" wrapText="1"/>
    </xf>
    <xf numFmtId="1" fontId="36" fillId="0" borderId="5" xfId="3" applyNumberFormat="1" applyFont="1" applyFill="1" applyBorder="1" applyAlignment="1">
      <alignment horizontal="center" vertical="center" wrapText="1"/>
    </xf>
    <xf numFmtId="9" fontId="37" fillId="0" borderId="45" xfId="3" applyNumberFormat="1" applyFont="1" applyFill="1" applyBorder="1" applyAlignment="1">
      <alignment horizontal="center" vertical="center" wrapText="1"/>
    </xf>
    <xf numFmtId="1" fontId="36" fillId="0" borderId="45" xfId="3" applyNumberFormat="1" applyFont="1" applyFill="1" applyBorder="1" applyAlignment="1">
      <alignment horizontal="center" vertical="center" wrapText="1"/>
    </xf>
    <xf numFmtId="1" fontId="37" fillId="0" borderId="40" xfId="3" applyNumberFormat="1" applyFont="1" applyFill="1" applyBorder="1" applyAlignment="1">
      <alignment horizontal="center" vertical="center" wrapText="1"/>
    </xf>
    <xf numFmtId="9" fontId="37" fillId="0" borderId="40" xfId="3" applyFont="1" applyFill="1" applyBorder="1" applyAlignment="1">
      <alignment horizontal="center" vertical="center" wrapText="1"/>
    </xf>
    <xf numFmtId="1" fontId="37" fillId="0" borderId="41" xfId="3" applyNumberFormat="1" applyFont="1" applyFill="1" applyBorder="1" applyAlignment="1">
      <alignment horizontal="center" vertical="center" wrapText="1"/>
    </xf>
    <xf numFmtId="1" fontId="37" fillId="0" borderId="44" xfId="3" applyNumberFormat="1" applyFont="1" applyFill="1" applyBorder="1" applyAlignment="1">
      <alignment horizontal="center" vertical="center" wrapText="1"/>
    </xf>
    <xf numFmtId="1" fontId="36" fillId="0" borderId="44" xfId="3" applyNumberFormat="1" applyFont="1" applyFill="1" applyBorder="1" applyAlignment="1">
      <alignment horizontal="center" vertical="center" wrapText="1"/>
    </xf>
    <xf numFmtId="1" fontId="33" fillId="29" borderId="14" xfId="3" applyNumberFormat="1" applyFont="1" applyFill="1" applyBorder="1" applyAlignment="1">
      <alignment horizontal="center" vertical="center" wrapText="1"/>
    </xf>
    <xf numFmtId="1" fontId="36" fillId="0" borderId="9" xfId="3" applyNumberFormat="1" applyFont="1" applyFill="1" applyBorder="1" applyAlignment="1">
      <alignment horizontal="center" vertical="center" wrapText="1"/>
    </xf>
    <xf numFmtId="1" fontId="31" fillId="8" borderId="14" xfId="3" applyNumberFormat="1" applyFont="1" applyFill="1" applyBorder="1" applyAlignment="1">
      <alignment horizontal="center" vertical="center" wrapText="1"/>
    </xf>
    <xf numFmtId="0" fontId="30" fillId="0" borderId="0" xfId="5" applyFont="1" applyFill="1" applyAlignment="1">
      <alignment horizontal="center" vertical="center" wrapText="1"/>
    </xf>
    <xf numFmtId="1" fontId="30" fillId="0" borderId="0" xfId="3" applyNumberFormat="1" applyFont="1" applyFill="1" applyAlignment="1">
      <alignment horizontal="center" vertical="center" wrapText="1"/>
    </xf>
    <xf numFmtId="10" fontId="31" fillId="8" borderId="14" xfId="3" applyNumberFormat="1" applyFont="1" applyFill="1" applyBorder="1" applyAlignment="1">
      <alignment horizontal="center" vertical="center" wrapText="1"/>
    </xf>
    <xf numFmtId="10" fontId="33" fillId="29" borderId="9" xfId="3" applyNumberFormat="1" applyFont="1" applyFill="1" applyBorder="1" applyAlignment="1">
      <alignment horizontal="center" vertical="center" wrapText="1"/>
    </xf>
    <xf numFmtId="10" fontId="36" fillId="0" borderId="41" xfId="3" applyNumberFormat="1" applyFont="1" applyFill="1" applyBorder="1" applyAlignment="1">
      <alignment horizontal="center" vertical="center" wrapText="1"/>
    </xf>
    <xf numFmtId="10" fontId="36" fillId="0" borderId="40" xfId="3" applyNumberFormat="1" applyFont="1" applyFill="1" applyBorder="1" applyAlignment="1">
      <alignment horizontal="center" vertical="center" wrapText="1"/>
    </xf>
    <xf numFmtId="3" fontId="36" fillId="0" borderId="46" xfId="5" applyNumberFormat="1" applyFont="1" applyFill="1" applyBorder="1" applyAlignment="1">
      <alignment horizontal="center" vertical="center" wrapText="1"/>
    </xf>
    <xf numFmtId="3" fontId="36" fillId="0" borderId="42" xfId="5" applyNumberFormat="1" applyFont="1" applyFill="1" applyBorder="1" applyAlignment="1">
      <alignment horizontal="center" vertical="center" wrapText="1"/>
    </xf>
    <xf numFmtId="3" fontId="36" fillId="0" borderId="45" xfId="5" applyNumberFormat="1" applyFont="1" applyFill="1" applyBorder="1" applyAlignment="1">
      <alignment horizontal="center" vertical="center" wrapText="1"/>
    </xf>
    <xf numFmtId="3" fontId="36" fillId="0" borderId="5" xfId="5" applyNumberFormat="1" applyFont="1" applyFill="1" applyBorder="1" applyAlignment="1">
      <alignment horizontal="center" vertical="center" wrapText="1"/>
    </xf>
    <xf numFmtId="0" fontId="31" fillId="12" borderId="15" xfId="5" applyFont="1" applyFill="1" applyBorder="1" applyAlignment="1">
      <alignment horizontal="right" vertical="center" wrapText="1"/>
    </xf>
    <xf numFmtId="0" fontId="36" fillId="17" borderId="12" xfId="5" applyFont="1" applyFill="1" applyBorder="1" applyAlignment="1">
      <alignment horizontal="right" vertical="top" wrapText="1"/>
    </xf>
    <xf numFmtId="4" fontId="31" fillId="8" borderId="12" xfId="5" applyNumberFormat="1" applyFont="1" applyFill="1" applyBorder="1" applyAlignment="1">
      <alignment horizontal="right" vertical="center" wrapText="1"/>
    </xf>
    <xf numFmtId="4" fontId="33" fillId="29" borderId="49" xfId="5" applyNumberFormat="1" applyFont="1" applyFill="1" applyBorder="1" applyAlignment="1">
      <alignment horizontal="right" vertical="center" wrapText="1"/>
    </xf>
    <xf numFmtId="4" fontId="36" fillId="0" borderId="42" xfId="5" applyNumberFormat="1" applyFont="1" applyFill="1" applyBorder="1" applyAlignment="1">
      <alignment horizontal="right" vertical="center" wrapText="1"/>
    </xf>
    <xf numFmtId="4" fontId="36" fillId="0" borderId="41" xfId="5" applyNumberFormat="1" applyFont="1" applyFill="1" applyBorder="1" applyAlignment="1">
      <alignment horizontal="right" vertical="center" wrapText="1"/>
    </xf>
    <xf numFmtId="4" fontId="36" fillId="0" borderId="45" xfId="5" applyNumberFormat="1" applyFont="1" applyFill="1" applyBorder="1" applyAlignment="1">
      <alignment horizontal="right" vertical="center" wrapText="1"/>
    </xf>
    <xf numFmtId="4" fontId="36" fillId="0" borderId="44" xfId="5" applyNumberFormat="1" applyFont="1" applyFill="1" applyBorder="1" applyAlignment="1">
      <alignment horizontal="right" vertical="center" wrapText="1"/>
    </xf>
    <xf numFmtId="4" fontId="33" fillId="29" borderId="12" xfId="5" applyNumberFormat="1" applyFont="1" applyFill="1" applyBorder="1" applyAlignment="1">
      <alignment horizontal="right" vertical="center" wrapText="1"/>
    </xf>
    <xf numFmtId="4" fontId="36" fillId="0" borderId="5" xfId="5" applyNumberFormat="1" applyFont="1" applyFill="1" applyBorder="1" applyAlignment="1">
      <alignment horizontal="right" vertical="center" wrapText="1"/>
    </xf>
    <xf numFmtId="4" fontId="36" fillId="0" borderId="49" xfId="5" applyNumberFormat="1" applyFont="1" applyFill="1" applyBorder="1" applyAlignment="1">
      <alignment horizontal="right" vertical="center" wrapText="1"/>
    </xf>
    <xf numFmtId="4" fontId="36" fillId="0" borderId="16" xfId="5" applyNumberFormat="1" applyFont="1" applyFill="1" applyBorder="1" applyAlignment="1">
      <alignment horizontal="right" vertical="center" wrapText="1"/>
    </xf>
    <xf numFmtId="4" fontId="36" fillId="0" borderId="74" xfId="5" applyNumberFormat="1" applyFont="1" applyFill="1" applyBorder="1" applyAlignment="1">
      <alignment horizontal="right" vertical="center" wrapText="1"/>
    </xf>
    <xf numFmtId="0" fontId="30" fillId="0" borderId="0" xfId="5" applyFont="1" applyFill="1" applyAlignment="1">
      <alignment horizontal="right" vertical="center" wrapText="1"/>
    </xf>
    <xf numFmtId="9" fontId="37" fillId="9" borderId="42" xfId="3" applyFont="1" applyFill="1" applyBorder="1" applyAlignment="1">
      <alignment horizontal="center" vertical="center" wrapText="1"/>
    </xf>
    <xf numFmtId="168" fontId="33" fillId="30" borderId="63" xfId="4" applyNumberFormat="1" applyFont="1" applyFill="1" applyBorder="1" applyAlignment="1">
      <alignment horizontal="center"/>
    </xf>
    <xf numFmtId="168" fontId="55" fillId="31" borderId="63" xfId="4" applyNumberFormat="1" applyFont="1" applyFill="1" applyBorder="1" applyAlignment="1">
      <alignment vertical="center" wrapText="1"/>
    </xf>
    <xf numFmtId="168" fontId="0" fillId="0" borderId="0" xfId="0" applyNumberFormat="1" applyFont="1" applyAlignment="1"/>
    <xf numFmtId="169" fontId="37" fillId="0" borderId="44" xfId="3" applyNumberFormat="1" applyFont="1" applyFill="1" applyBorder="1" applyAlignment="1">
      <alignment horizontal="center" vertical="center" wrapText="1"/>
    </xf>
    <xf numFmtId="169" fontId="37" fillId="0" borderId="42" xfId="3" applyNumberFormat="1" applyFont="1" applyFill="1" applyBorder="1" applyAlignment="1">
      <alignment horizontal="center" vertical="center" wrapText="1"/>
    </xf>
    <xf numFmtId="0" fontId="0" fillId="3" borderId="16" xfId="0" applyFill="1" applyBorder="1"/>
    <xf numFmtId="0" fontId="30" fillId="0" borderId="0" xfId="0" applyFont="1" applyAlignment="1">
      <alignment vertical="center" wrapText="1"/>
    </xf>
    <xf numFmtId="0" fontId="30" fillId="0" borderId="0" xfId="0" applyFont="1" applyAlignment="1">
      <alignment vertical="center"/>
    </xf>
    <xf numFmtId="0" fontId="20" fillId="0" borderId="0" xfId="0" applyFont="1" applyAlignment="1">
      <alignment vertical="top"/>
    </xf>
    <xf numFmtId="9" fontId="7" fillId="6" borderId="12" xfId="0" applyNumberFormat="1" applyFont="1" applyFill="1" applyBorder="1" applyAlignment="1">
      <alignment horizontal="center" vertical="top"/>
    </xf>
    <xf numFmtId="0" fontId="17" fillId="3" borderId="8" xfId="2" applyFill="1" applyBorder="1" applyAlignment="1" applyProtection="1">
      <alignment vertical="top" wrapText="1"/>
      <protection locked="0"/>
    </xf>
    <xf numFmtId="0" fontId="3" fillId="0" borderId="0" xfId="0" applyFont="1" applyAlignment="1">
      <alignment horizontal="center" vertical="top" wrapText="1"/>
    </xf>
    <xf numFmtId="0" fontId="6" fillId="0" borderId="0" xfId="0" applyFont="1" applyAlignment="1">
      <alignment horizontal="center" vertical="top" wrapText="1"/>
    </xf>
    <xf numFmtId="0" fontId="12" fillId="0" borderId="14" xfId="0" applyFont="1" applyBorder="1" applyAlignment="1">
      <alignment horizontal="center" vertical="top"/>
    </xf>
    <xf numFmtId="0" fontId="12" fillId="0" borderId="0" xfId="0" applyFont="1" applyAlignment="1">
      <alignment horizontal="center" vertical="top" wrapText="1"/>
    </xf>
    <xf numFmtId="0" fontId="17" fillId="3" borderId="8" xfId="2" applyFill="1" applyBorder="1" applyAlignment="1" applyProtection="1">
      <alignment horizontal="left" vertical="top" wrapText="1"/>
      <protection locked="0"/>
    </xf>
    <xf numFmtId="0" fontId="7" fillId="3" borderId="75" xfId="0" applyFont="1" applyFill="1" applyBorder="1" applyAlignment="1">
      <alignment vertical="center" wrapText="1"/>
    </xf>
    <xf numFmtId="0" fontId="0" fillId="0" borderId="7" xfId="0" applyBorder="1" applyAlignment="1">
      <alignment vertical="top"/>
    </xf>
    <xf numFmtId="0" fontId="5"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1" xfId="0" applyFont="1" applyBorder="1" applyAlignment="1">
      <alignment horizontal="center"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9" borderId="7" xfId="0" applyFont="1" applyFill="1" applyBorder="1" applyAlignment="1">
      <alignment vertical="top"/>
    </xf>
    <xf numFmtId="0" fontId="4" fillId="0" borderId="8" xfId="0" applyFont="1" applyBorder="1" applyAlignment="1">
      <alignment horizontal="left" vertical="top" wrapText="1"/>
    </xf>
    <xf numFmtId="0" fontId="2" fillId="0" borderId="0" xfId="0" applyFont="1" applyAlignment="1">
      <alignment vertical="top"/>
    </xf>
    <xf numFmtId="0" fontId="2" fillId="0" borderId="0" xfId="0" applyFont="1" applyAlignment="1">
      <alignment horizontal="center" vertical="top"/>
    </xf>
    <xf numFmtId="0" fontId="4" fillId="3" borderId="7" xfId="0" applyFont="1" applyFill="1" applyBorder="1" applyAlignment="1" applyProtection="1">
      <alignment horizontal="right" vertical="top"/>
      <protection locked="0"/>
    </xf>
    <xf numFmtId="3" fontId="4" fillId="3" borderId="8" xfId="0" applyNumberFormat="1" applyFont="1" applyFill="1" applyBorder="1" applyAlignment="1" applyProtection="1">
      <alignment horizontal="right" vertical="top"/>
      <protection locked="0"/>
    </xf>
    <xf numFmtId="0" fontId="4" fillId="10" borderId="8" xfId="0" applyFont="1" applyFill="1" applyBorder="1" applyAlignment="1">
      <alignment vertical="top" wrapText="1"/>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0" borderId="16" xfId="0" applyNumberFormat="1" applyFont="1" applyBorder="1" applyAlignment="1" applyProtection="1">
      <alignment horizontal="center" vertical="top"/>
      <protection locked="0"/>
    </xf>
    <xf numFmtId="0" fontId="60" fillId="0" borderId="0" xfId="0" applyFont="1" applyAlignment="1">
      <alignment vertical="top" wrapText="1"/>
    </xf>
    <xf numFmtId="3" fontId="4" fillId="0" borderId="8" xfId="0" applyNumberFormat="1" applyFont="1" applyBorder="1" applyAlignment="1">
      <alignment vertical="top"/>
    </xf>
    <xf numFmtId="0" fontId="4" fillId="0" borderId="0" xfId="0" applyFont="1" applyAlignment="1">
      <alignment horizontal="center" vertical="top" wrapText="1"/>
    </xf>
    <xf numFmtId="0" fontId="4" fillId="0" borderId="11" xfId="0" applyFont="1" applyBorder="1" applyAlignment="1">
      <alignment horizontal="center" vertical="top"/>
    </xf>
    <xf numFmtId="0" fontId="9" fillId="3" borderId="16" xfId="0" applyFont="1" applyFill="1" applyBorder="1" applyAlignment="1">
      <alignment wrapText="1"/>
    </xf>
    <xf numFmtId="0" fontId="9" fillId="3" borderId="12" xfId="0" applyFont="1" applyFill="1" applyBorder="1" applyAlignment="1">
      <alignment wrapText="1"/>
    </xf>
    <xf numFmtId="0" fontId="4" fillId="3" borderId="8" xfId="0" applyFont="1" applyFill="1" applyBorder="1" applyAlignment="1" applyProtection="1">
      <alignment vertical="center" wrapText="1"/>
      <protection locked="0"/>
    </xf>
    <xf numFmtId="0" fontId="4" fillId="3" borderId="11" xfId="0" applyFont="1" applyFill="1" applyBorder="1" applyAlignment="1" applyProtection="1">
      <alignment horizontal="center" vertical="top"/>
      <protection locked="0"/>
    </xf>
    <xf numFmtId="0" fontId="9" fillId="3" borderId="37" xfId="0" applyFont="1" applyFill="1" applyBorder="1" applyAlignment="1">
      <alignment wrapText="1"/>
    </xf>
    <xf numFmtId="0" fontId="8" fillId="0" borderId="0" xfId="0" applyFont="1" applyAlignment="1">
      <alignment vertical="top" wrapText="1"/>
    </xf>
    <xf numFmtId="0" fontId="9" fillId="0" borderId="0" xfId="0" applyFont="1"/>
    <xf numFmtId="0" fontId="9" fillId="3" borderId="31" xfId="0" applyFont="1" applyFill="1" applyBorder="1" applyAlignment="1">
      <alignment vertical="top" wrapText="1"/>
    </xf>
    <xf numFmtId="0" fontId="4" fillId="3" borderId="0" xfId="0" applyFont="1" applyFill="1" applyAlignment="1" applyProtection="1">
      <alignment vertical="top" wrapText="1"/>
      <protection locked="0"/>
    </xf>
    <xf numFmtId="3" fontId="4" fillId="3" borderId="6" xfId="0" applyNumberFormat="1" applyFont="1" applyFill="1" applyBorder="1" applyAlignment="1" applyProtection="1">
      <alignment vertical="top"/>
      <protection locked="0"/>
    </xf>
    <xf numFmtId="0" fontId="4" fillId="3" borderId="11" xfId="0" applyFont="1" applyFill="1" applyBorder="1" applyAlignment="1" applyProtection="1">
      <alignment vertical="top"/>
      <protection locked="0"/>
    </xf>
    <xf numFmtId="0" fontId="61" fillId="3" borderId="8" xfId="2" applyFont="1" applyFill="1" applyBorder="1" applyAlignment="1" applyProtection="1">
      <alignment vertical="top" wrapText="1"/>
      <protection locked="0"/>
    </xf>
    <xf numFmtId="0" fontId="4" fillId="3" borderId="8" xfId="0" applyFont="1" applyFill="1" applyBorder="1" applyAlignment="1">
      <alignment horizontal="left" vertical="top" wrapText="1"/>
    </xf>
    <xf numFmtId="0" fontId="4" fillId="0" borderId="12" xfId="0" applyFont="1" applyBorder="1" applyAlignment="1">
      <alignment horizontal="center" vertical="center" wrapText="1"/>
    </xf>
    <xf numFmtId="0" fontId="17" fillId="3" borderId="8" xfId="2" applyFill="1" applyBorder="1" applyAlignment="1">
      <alignment horizontal="left" vertical="top" wrapText="1"/>
    </xf>
    <xf numFmtId="0" fontId="0" fillId="0" borderId="6" xfId="0" applyBorder="1" applyAlignment="1">
      <alignment horizontal="center" vertical="top"/>
    </xf>
    <xf numFmtId="3" fontId="4" fillId="4" borderId="8" xfId="0" applyNumberFormat="1" applyFont="1" applyFill="1" applyBorder="1" applyAlignment="1">
      <alignment horizontal="right" vertical="top"/>
    </xf>
    <xf numFmtId="3" fontId="4" fillId="4" borderId="8" xfId="0" applyNumberFormat="1" applyFont="1" applyFill="1" applyBorder="1" applyAlignment="1">
      <alignment horizontal="right" vertical="top" wrapText="1"/>
    </xf>
    <xf numFmtId="0" fontId="7" fillId="0" borderId="0" xfId="0" applyFont="1" applyAlignment="1">
      <alignment vertical="center"/>
    </xf>
    <xf numFmtId="0" fontId="62" fillId="0" borderId="0" xfId="0" applyFont="1" applyAlignment="1">
      <alignment vertical="center"/>
    </xf>
    <xf numFmtId="9" fontId="4" fillId="4" borderId="12" xfId="0" applyNumberFormat="1" applyFont="1" applyFill="1" applyBorder="1" applyAlignment="1">
      <alignment horizontal="right" vertical="top"/>
    </xf>
    <xf numFmtId="0" fontId="7" fillId="3" borderId="16" xfId="0" applyFont="1" applyFill="1" applyBorder="1" applyAlignment="1">
      <alignment wrapText="1"/>
    </xf>
    <xf numFmtId="0" fontId="4" fillId="3" borderId="7" xfId="0" applyFont="1" applyFill="1" applyBorder="1" applyAlignment="1" applyProtection="1">
      <alignment horizontal="center" vertical="center" wrapText="1"/>
      <protection locked="0"/>
    </xf>
    <xf numFmtId="0" fontId="9" fillId="3" borderId="12" xfId="0" applyFont="1" applyFill="1" applyBorder="1" applyAlignment="1">
      <alignment horizontal="justify" vertical="center" wrapText="1"/>
    </xf>
    <xf numFmtId="9" fontId="4" fillId="6" borderId="8" xfId="0" applyNumberFormat="1" applyFont="1" applyFill="1" applyBorder="1" applyAlignment="1">
      <alignment horizontal="center" vertical="top"/>
    </xf>
    <xf numFmtId="9" fontId="0" fillId="0" borderId="0" xfId="0" applyNumberFormat="1"/>
    <xf numFmtId="9" fontId="4" fillId="4" borderId="14" xfId="0" applyNumberFormat="1" applyFont="1" applyFill="1" applyBorder="1" applyAlignment="1">
      <alignment horizontal="center" vertical="top"/>
    </xf>
    <xf numFmtId="9" fontId="4" fillId="4" borderId="12" xfId="0" applyNumberFormat="1" applyFont="1" applyFill="1" applyBorder="1" applyAlignment="1">
      <alignment horizontal="center" vertical="top"/>
    </xf>
    <xf numFmtId="0" fontId="3" fillId="0" borderId="0" xfId="0" applyFont="1" applyAlignment="1" applyProtection="1">
      <alignment horizontal="center" vertical="top" wrapText="1"/>
      <protection locked="0"/>
    </xf>
    <xf numFmtId="0" fontId="12" fillId="0" borderId="0" xfId="0" applyFont="1" applyAlignment="1" applyProtection="1">
      <alignment horizontal="center" vertical="top" wrapText="1"/>
      <protection locked="0"/>
    </xf>
    <xf numFmtId="3" fontId="36" fillId="9" borderId="45" xfId="5" applyNumberFormat="1" applyFont="1" applyFill="1" applyBorder="1" applyAlignment="1">
      <alignment vertical="center" wrapText="1"/>
    </xf>
    <xf numFmtId="0" fontId="7" fillId="0" borderId="0" xfId="0" applyFont="1"/>
    <xf numFmtId="0" fontId="4" fillId="0" borderId="11" xfId="0" applyFont="1" applyBorder="1" applyAlignment="1" applyProtection="1">
      <alignment horizontal="center" vertical="top" wrapText="1"/>
      <protection locked="0"/>
    </xf>
    <xf numFmtId="0" fontId="62" fillId="3" borderId="16" xfId="0" applyFont="1" applyFill="1" applyBorder="1" applyAlignment="1">
      <alignment wrapText="1"/>
    </xf>
    <xf numFmtId="0" fontId="4" fillId="3" borderId="6" xfId="0" applyFont="1" applyFill="1" applyBorder="1" applyAlignment="1" applyProtection="1">
      <alignment horizontal="left" vertical="center" wrapText="1"/>
      <protection locked="0"/>
    </xf>
    <xf numFmtId="0" fontId="4" fillId="3" borderId="30" xfId="0" applyFont="1" applyFill="1" applyBorder="1" applyAlignment="1">
      <alignment vertical="top" wrapText="1"/>
    </xf>
    <xf numFmtId="0" fontId="8" fillId="0" borderId="7" xfId="0" applyFont="1" applyBorder="1" applyAlignment="1">
      <alignment horizontal="center" vertical="top" wrapText="1"/>
    </xf>
    <xf numFmtId="0" fontId="4" fillId="3" borderId="11" xfId="0" applyFont="1" applyFill="1" applyBorder="1" applyAlignment="1" applyProtection="1">
      <alignment horizontal="left" vertical="top"/>
      <protection locked="0"/>
    </xf>
    <xf numFmtId="0" fontId="7" fillId="3" borderId="12" xfId="0" applyFont="1" applyFill="1" applyBorder="1" applyAlignment="1">
      <alignment wrapText="1"/>
    </xf>
    <xf numFmtId="0" fontId="4" fillId="3" borderId="12" xfId="0" applyFont="1" applyFill="1" applyBorder="1" applyAlignment="1" applyProtection="1">
      <alignment horizontal="left" vertical="top" wrapText="1"/>
      <protection locked="0"/>
    </xf>
    <xf numFmtId="0" fontId="4" fillId="3" borderId="8" xfId="0" applyFont="1" applyFill="1" applyBorder="1" applyAlignment="1" applyProtection="1">
      <alignment horizontal="justify" vertical="top"/>
      <protection locked="0"/>
    </xf>
    <xf numFmtId="0" fontId="0" fillId="3" borderId="12" xfId="0" applyFill="1" applyBorder="1" applyAlignment="1" applyProtection="1">
      <alignment wrapText="1"/>
      <protection locked="0"/>
    </xf>
    <xf numFmtId="0" fontId="0" fillId="3" borderId="12" xfId="0" applyFill="1" applyBorder="1" applyProtection="1">
      <protection locked="0"/>
    </xf>
    <xf numFmtId="0" fontId="4" fillId="3" borderId="12" xfId="0" applyFont="1" applyFill="1" applyBorder="1" applyAlignment="1" applyProtection="1">
      <alignment horizontal="left" vertical="top"/>
      <protection locked="0"/>
    </xf>
    <xf numFmtId="0" fontId="4" fillId="6" borderId="8" xfId="0" applyFont="1" applyFill="1" applyBorder="1" applyAlignment="1" applyProtection="1">
      <alignment horizontal="left" vertical="top" wrapText="1"/>
      <protection locked="0"/>
    </xf>
    <xf numFmtId="0" fontId="3" fillId="0" borderId="7" xfId="0" applyFont="1" applyBorder="1" applyAlignment="1">
      <alignment horizontal="center" vertical="top" wrapText="1"/>
    </xf>
    <xf numFmtId="0" fontId="4" fillId="6" borderId="8" xfId="0" applyFont="1" applyFill="1" applyBorder="1" applyAlignment="1">
      <alignment vertical="top"/>
    </xf>
    <xf numFmtId="0" fontId="3" fillId="0" borderId="12" xfId="0" applyFont="1" applyBorder="1" applyAlignment="1">
      <alignment horizontal="center" vertical="top" wrapText="1"/>
    </xf>
    <xf numFmtId="9" fontId="4" fillId="0" borderId="8" xfId="0" applyNumberFormat="1" applyFont="1" applyBorder="1" applyAlignment="1" applyProtection="1">
      <alignment vertical="top"/>
      <protection locked="0"/>
    </xf>
    <xf numFmtId="0" fontId="4" fillId="0" borderId="6" xfId="0" applyFont="1" applyBorder="1" applyAlignment="1">
      <alignment horizontal="center" vertical="top"/>
    </xf>
    <xf numFmtId="9" fontId="25" fillId="6" borderId="8" xfId="0" applyNumberFormat="1" applyFont="1" applyFill="1" applyBorder="1" applyAlignment="1">
      <alignment horizontal="center" vertical="top"/>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4" fillId="3" borderId="11" xfId="0" applyFont="1" applyFill="1" applyBorder="1" applyAlignment="1" applyProtection="1">
      <alignment horizontal="left" vertical="center"/>
      <protection locked="0"/>
    </xf>
    <xf numFmtId="9" fontId="4" fillId="3" borderId="11" xfId="0" applyNumberFormat="1" applyFont="1" applyFill="1" applyBorder="1" applyAlignment="1" applyProtection="1">
      <alignment horizontal="center" vertical="top" wrapText="1"/>
      <protection locked="0"/>
    </xf>
    <xf numFmtId="0" fontId="4" fillId="3" borderId="6" xfId="0" applyFont="1" applyFill="1" applyBorder="1" applyAlignment="1" applyProtection="1">
      <alignment horizontal="center" vertical="top" wrapText="1"/>
      <protection locked="0"/>
    </xf>
    <xf numFmtId="0" fontId="4" fillId="3" borderId="12" xfId="0" applyFont="1" applyFill="1" applyBorder="1" applyAlignment="1" applyProtection="1">
      <alignment horizontal="center" vertical="top" wrapText="1"/>
      <protection locked="0"/>
    </xf>
    <xf numFmtId="0" fontId="4" fillId="3" borderId="31" xfId="0" applyFont="1" applyFill="1" applyBorder="1" applyAlignment="1" applyProtection="1">
      <alignment horizontal="center" vertical="top"/>
      <protection locked="0"/>
    </xf>
    <xf numFmtId="0" fontId="4" fillId="3" borderId="32" xfId="0" applyFont="1" applyFill="1" applyBorder="1" applyAlignment="1" applyProtection="1">
      <alignment horizontal="center" vertical="top"/>
      <protection locked="0"/>
    </xf>
    <xf numFmtId="0" fontId="4" fillId="0" borderId="6" xfId="0" applyFont="1" applyBorder="1" applyAlignment="1">
      <alignment horizontal="center" vertical="center" wrapText="1"/>
    </xf>
    <xf numFmtId="0" fontId="4" fillId="0" borderId="8" xfId="0" applyFont="1" applyBorder="1" applyAlignment="1">
      <alignment vertical="center" wrapText="1"/>
    </xf>
    <xf numFmtId="0" fontId="0" fillId="0" borderId="13" xfId="0" applyBorder="1" applyAlignment="1">
      <alignment horizontal="justify" vertical="justify" wrapText="1"/>
    </xf>
    <xf numFmtId="0" fontId="0" fillId="0" borderId="0" xfId="0" applyAlignment="1">
      <alignment horizontal="justify" vertical="justify" wrapText="1"/>
    </xf>
    <xf numFmtId="9" fontId="25" fillId="6" borderId="8" xfId="3" applyFont="1" applyFill="1" applyBorder="1" applyAlignment="1">
      <alignment horizontal="center" vertical="top" wrapText="1"/>
    </xf>
    <xf numFmtId="0" fontId="4" fillId="3" borderId="71" xfId="0" applyFont="1" applyFill="1" applyBorder="1" applyAlignment="1" applyProtection="1">
      <alignment horizontal="center" vertical="top"/>
      <protection locked="0"/>
    </xf>
    <xf numFmtId="0" fontId="0" fillId="3" borderId="30" xfId="0" applyFill="1" applyBorder="1" applyAlignment="1" applyProtection="1">
      <alignment horizontal="center" vertical="center"/>
      <protection locked="0"/>
    </xf>
    <xf numFmtId="9" fontId="4" fillId="6" borderId="8" xfId="3" applyFont="1" applyFill="1" applyBorder="1" applyAlignment="1">
      <alignment horizontal="center" vertical="top" wrapText="1"/>
    </xf>
    <xf numFmtId="9" fontId="8" fillId="4" borderId="14" xfId="0" applyNumberFormat="1" applyFont="1" applyFill="1" applyBorder="1" applyAlignment="1">
      <alignment horizontal="distributed" vertical="top"/>
    </xf>
    <xf numFmtId="1" fontId="37" fillId="0" borderId="44" xfId="4" applyNumberFormat="1" applyFont="1" applyFill="1" applyBorder="1" applyAlignment="1">
      <alignment horizontal="center" vertical="center" wrapText="1"/>
    </xf>
    <xf numFmtId="0" fontId="37" fillId="0" borderId="44" xfId="5" applyFont="1" applyFill="1" applyBorder="1" applyAlignment="1">
      <alignment horizontal="left" vertical="top" wrapText="1"/>
    </xf>
    <xf numFmtId="9" fontId="37" fillId="33" borderId="44" xfId="5" applyNumberFormat="1" applyFont="1" applyFill="1" applyBorder="1" applyAlignment="1">
      <alignment horizontal="center" vertical="center" wrapText="1"/>
    </xf>
    <xf numFmtId="9" fontId="37" fillId="33" borderId="44" xfId="3" applyNumberFormat="1" applyFont="1" applyFill="1" applyBorder="1" applyAlignment="1">
      <alignment horizontal="center" vertical="center" wrapText="1"/>
    </xf>
    <xf numFmtId="4" fontId="64" fillId="13" borderId="12" xfId="5" applyNumberFormat="1" applyFont="1" applyFill="1" applyBorder="1" applyAlignment="1">
      <alignment horizontal="right" vertical="center" wrapText="1"/>
    </xf>
    <xf numFmtId="10" fontId="64" fillId="13" borderId="12" xfId="3" applyNumberFormat="1" applyFont="1" applyFill="1" applyBorder="1" applyAlignment="1">
      <alignment horizontal="center" vertical="center" wrapText="1"/>
    </xf>
    <xf numFmtId="4" fontId="64" fillId="13" borderId="12" xfId="5" quotePrefix="1" applyNumberFormat="1" applyFont="1" applyFill="1" applyBorder="1" applyAlignment="1">
      <alignment horizontal="right" vertical="center" wrapText="1"/>
    </xf>
    <xf numFmtId="0" fontId="33" fillId="0" borderId="0" xfId="5" applyFont="1" applyFill="1" applyBorder="1" applyAlignment="1">
      <alignment horizontal="center" vertical="center" wrapText="1"/>
    </xf>
    <xf numFmtId="0" fontId="35" fillId="13" borderId="3" xfId="5" applyFont="1" applyFill="1" applyBorder="1" applyAlignment="1">
      <alignment horizontal="center" vertical="top" wrapText="1"/>
    </xf>
    <xf numFmtId="0" fontId="34" fillId="13" borderId="7" xfId="5" applyFont="1" applyFill="1" applyBorder="1" applyAlignment="1">
      <alignment horizontal="center" vertical="center" wrapText="1"/>
    </xf>
    <xf numFmtId="49" fontId="45" fillId="0" borderId="56" xfId="5" applyNumberFormat="1" applyFont="1" applyBorder="1" applyAlignment="1">
      <alignment horizontal="center" vertical="center"/>
    </xf>
    <xf numFmtId="49" fontId="45" fillId="0" borderId="56" xfId="5" applyNumberFormat="1" applyFont="1" applyBorder="1" applyAlignment="1">
      <alignment horizontal="center" vertical="center" wrapText="1"/>
    </xf>
    <xf numFmtId="49" fontId="48" fillId="23" borderId="62" xfId="0" applyNumberFormat="1"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4" fillId="0" borderId="0" xfId="0" applyFont="1" applyAlignment="1">
      <alignment horizontal="right" vertical="top" wrapText="1"/>
    </xf>
    <xf numFmtId="0" fontId="0" fillId="0" borderId="6" xfId="0"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8"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6" xfId="0" applyFont="1" applyBorder="1" applyAlignment="1">
      <alignment vertical="top" wrapText="1"/>
    </xf>
    <xf numFmtId="0" fontId="6" fillId="0" borderId="8"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9" fontId="4" fillId="4" borderId="14" xfId="0" applyNumberFormat="1" applyFont="1" applyFill="1" applyBorder="1" applyAlignment="1">
      <alignment horizontal="right" vertical="top"/>
    </xf>
    <xf numFmtId="0" fontId="4" fillId="0" borderId="5" xfId="0" applyFont="1" applyBorder="1" applyAlignment="1">
      <alignment horizontal="left" vertical="top" wrapText="1"/>
    </xf>
    <xf numFmtId="0" fontId="9" fillId="0" borderId="6" xfId="0" applyFont="1" applyBorder="1" applyAlignment="1">
      <alignment vertical="top" wrapText="1"/>
    </xf>
    <xf numFmtId="0" fontId="3" fillId="0" borderId="7" xfId="0" applyFont="1" applyBorder="1" applyAlignment="1">
      <alignment vertical="top" wrapText="1"/>
    </xf>
    <xf numFmtId="0" fontId="4" fillId="3" borderId="7" xfId="0" applyFont="1" applyFill="1" applyBorder="1" applyAlignment="1" applyProtection="1">
      <alignment vertical="top"/>
      <protection locked="0"/>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pplyProtection="1">
      <alignment vertical="top" wrapText="1"/>
    </xf>
    <xf numFmtId="0" fontId="4" fillId="0" borderId="5" xfId="0" applyFont="1" applyBorder="1" applyAlignment="1" applyProtection="1">
      <alignment vertical="top" wrapText="1"/>
    </xf>
    <xf numFmtId="0" fontId="4" fillId="0" borderId="13" xfId="0" applyFont="1" applyBorder="1" applyAlignment="1" applyProtection="1">
      <alignment vertical="top" wrapText="1"/>
    </xf>
    <xf numFmtId="0" fontId="4" fillId="0" borderId="4" xfId="0" applyFont="1" applyBorder="1" applyAlignment="1" applyProtection="1">
      <alignment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4" fillId="0" borderId="8" xfId="0" applyFont="1" applyBorder="1" applyAlignment="1">
      <alignment horizontal="left" vertical="center" wrapText="1"/>
    </xf>
    <xf numFmtId="0" fontId="8" fillId="0" borderId="13" xfId="0" applyFont="1" applyBorder="1" applyAlignment="1">
      <alignment vertical="top" wrapText="1"/>
    </xf>
    <xf numFmtId="0" fontId="8" fillId="0" borderId="8" xfId="0" applyFont="1" applyBorder="1" applyAlignment="1">
      <alignment horizontal="center" vertical="top" wrapText="1"/>
    </xf>
    <xf numFmtId="0" fontId="8" fillId="0" borderId="5"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3" fillId="3" borderId="8" xfId="0" applyFont="1" applyFill="1" applyBorder="1" applyAlignment="1" applyProtection="1">
      <alignment horizontal="center" vertical="top" wrapText="1"/>
      <protection locked="0"/>
    </xf>
    <xf numFmtId="0" fontId="12" fillId="0" borderId="6"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4" fillId="0" borderId="14" xfId="0" applyFont="1" applyBorder="1" applyAlignment="1">
      <alignment horizontal="center" vertical="top" wrapText="1"/>
    </xf>
    <xf numFmtId="0" fontId="4" fillId="0" borderId="7" xfId="0" applyFont="1" applyBorder="1" applyAlignment="1">
      <alignment horizontal="center" vertical="top" wrapText="1"/>
    </xf>
    <xf numFmtId="0" fontId="3" fillId="0" borderId="1" xfId="0" applyFont="1" applyBorder="1" applyAlignment="1">
      <alignment vertical="top" wrapText="1"/>
    </xf>
    <xf numFmtId="0" fontId="3" fillId="0" borderId="8" xfId="0" applyFont="1" applyBorder="1" applyAlignment="1">
      <alignment horizontal="center" vertical="top" wrapText="1"/>
    </xf>
    <xf numFmtId="0" fontId="4" fillId="0" borderId="4" xfId="0" applyFont="1" applyBorder="1" applyAlignment="1">
      <alignment vertical="top"/>
    </xf>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6" xfId="0" applyFont="1" applyBorder="1" applyAlignment="1">
      <alignment horizontal="center" vertical="top" wrapText="1"/>
    </xf>
    <xf numFmtId="170" fontId="45" fillId="19" borderId="56" xfId="4" applyNumberFormat="1" applyFont="1" applyFill="1" applyBorder="1" applyAlignment="1">
      <alignment horizontal="right" vertical="center"/>
    </xf>
    <xf numFmtId="4" fontId="45" fillId="20" borderId="56" xfId="3" applyNumberFormat="1" applyFont="1" applyFill="1" applyBorder="1" applyAlignment="1">
      <alignment horizontal="right" vertical="center"/>
    </xf>
    <xf numFmtId="4" fontId="45" fillId="21" borderId="56" xfId="3" applyNumberFormat="1" applyFont="1" applyFill="1" applyBorder="1" applyAlignment="1">
      <alignment horizontal="right" vertical="center"/>
    </xf>
    <xf numFmtId="4" fontId="45" fillId="22" borderId="56" xfId="3" applyNumberFormat="1" applyFont="1" applyFill="1" applyBorder="1" applyAlignment="1">
      <alignment horizontal="right" vertical="center"/>
    </xf>
    <xf numFmtId="4" fontId="45" fillId="0" borderId="56" xfId="3" applyNumberFormat="1" applyFont="1" applyBorder="1" applyAlignment="1">
      <alignment horizontal="right" vertical="center"/>
    </xf>
    <xf numFmtId="4" fontId="47" fillId="0" borderId="56" xfId="3" applyNumberFormat="1" applyFont="1" applyBorder="1" applyAlignment="1">
      <alignment horizontal="right" vertical="center"/>
    </xf>
    <xf numFmtId="3" fontId="47" fillId="0" borderId="56" xfId="3" applyNumberFormat="1" applyFont="1" applyBorder="1" applyAlignment="1">
      <alignment horizontal="right" vertical="center"/>
    </xf>
    <xf numFmtId="3" fontId="45" fillId="0" borderId="56" xfId="3" applyNumberFormat="1" applyFont="1" applyFill="1" applyBorder="1" applyAlignment="1">
      <alignment horizontal="right" vertical="center"/>
    </xf>
    <xf numFmtId="3" fontId="47" fillId="0" borderId="56" xfId="3" applyNumberFormat="1" applyFont="1" applyFill="1" applyBorder="1" applyAlignment="1">
      <alignment horizontal="right" vertical="center"/>
    </xf>
    <xf numFmtId="3" fontId="45" fillId="0" borderId="56" xfId="3" applyNumberFormat="1" applyFont="1" applyBorder="1" applyAlignment="1">
      <alignment horizontal="right" vertical="center"/>
    </xf>
    <xf numFmtId="4" fontId="45" fillId="0" borderId="56" xfId="3" applyNumberFormat="1" applyFont="1" applyFill="1" applyBorder="1" applyAlignment="1">
      <alignment horizontal="right" vertical="center"/>
    </xf>
    <xf numFmtId="4" fontId="47" fillId="0" borderId="56" xfId="3" applyNumberFormat="1" applyFont="1" applyFill="1" applyBorder="1" applyAlignment="1">
      <alignment horizontal="right" vertical="center"/>
    </xf>
    <xf numFmtId="3" fontId="45" fillId="22" borderId="56" xfId="3" applyNumberFormat="1" applyFont="1" applyFill="1" applyBorder="1" applyAlignment="1">
      <alignment horizontal="right" vertical="center"/>
    </xf>
    <xf numFmtId="4" fontId="45" fillId="0" borderId="56" xfId="4" applyNumberFormat="1" applyFont="1" applyFill="1" applyBorder="1" applyAlignment="1">
      <alignment horizontal="right" vertical="center"/>
    </xf>
    <xf numFmtId="3" fontId="45" fillId="0" borderId="56" xfId="4" applyNumberFormat="1" applyFont="1" applyBorder="1" applyAlignment="1">
      <alignment horizontal="right" vertical="center"/>
    </xf>
    <xf numFmtId="165" fontId="45" fillId="20" borderId="56" xfId="4" applyNumberFormat="1" applyFont="1" applyFill="1" applyBorder="1" applyAlignment="1">
      <alignment horizontal="right" vertical="center"/>
    </xf>
    <xf numFmtId="3" fontId="45" fillId="21" borderId="56" xfId="3" applyNumberFormat="1" applyFont="1" applyFill="1" applyBorder="1" applyAlignment="1">
      <alignment horizontal="right" vertical="center"/>
    </xf>
    <xf numFmtId="3" fontId="45" fillId="22" borderId="56" xfId="3" applyNumberFormat="1" applyFont="1" applyFill="1" applyBorder="1" applyAlignment="1">
      <alignment vertical="center"/>
    </xf>
    <xf numFmtId="3" fontId="45" fillId="0" borderId="56" xfId="3" applyNumberFormat="1" applyFont="1" applyBorder="1" applyAlignment="1">
      <alignment vertical="center"/>
    </xf>
    <xf numFmtId="3" fontId="45" fillId="0" borderId="56" xfId="3" applyNumberFormat="1" applyFont="1" applyFill="1" applyBorder="1" applyAlignment="1">
      <alignment vertical="center"/>
    </xf>
    <xf numFmtId="3" fontId="47" fillId="0" borderId="56" xfId="3" applyNumberFormat="1" applyFont="1" applyFill="1" applyBorder="1" applyAlignment="1">
      <alignment vertical="center"/>
    </xf>
    <xf numFmtId="3" fontId="45" fillId="21" borderId="56" xfId="3" applyNumberFormat="1" applyFont="1" applyFill="1" applyBorder="1" applyAlignment="1">
      <alignment vertical="center"/>
    </xf>
    <xf numFmtId="3" fontId="47" fillId="0" borderId="56" xfId="3" applyNumberFormat="1" applyFont="1" applyBorder="1" applyAlignment="1">
      <alignment vertical="center"/>
    </xf>
    <xf numFmtId="0" fontId="45" fillId="0" borderId="0" xfId="5" applyFont="1" applyAlignment="1">
      <alignment horizontal="left" vertical="center"/>
    </xf>
    <xf numFmtId="49" fontId="45" fillId="0" borderId="58" xfId="5" applyNumberFormat="1" applyFont="1" applyBorder="1" applyAlignment="1">
      <alignment horizontal="center" vertical="center"/>
    </xf>
    <xf numFmtId="0" fontId="31" fillId="12" borderId="14" xfId="0" applyFont="1" applyFill="1" applyBorder="1" applyAlignment="1">
      <alignment horizontal="center" vertical="center" wrapText="1"/>
    </xf>
    <xf numFmtId="0" fontId="31" fillId="12" borderId="15"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1" fillId="12" borderId="2" xfId="5" applyFont="1" applyFill="1" applyBorder="1" applyAlignment="1">
      <alignment horizontal="center" vertical="center" wrapText="1"/>
    </xf>
    <xf numFmtId="0" fontId="31" fillId="12" borderId="3" xfId="5" applyFont="1" applyFill="1" applyBorder="1" applyAlignment="1">
      <alignment horizontal="center" vertical="center" wrapText="1"/>
    </xf>
    <xf numFmtId="0" fontId="31" fillId="12" borderId="4" xfId="5" applyFont="1" applyFill="1" applyBorder="1" applyAlignment="1">
      <alignment horizontal="center" vertical="center" wrapText="1"/>
    </xf>
    <xf numFmtId="0" fontId="31" fillId="12" borderId="10" xfId="5" applyFont="1" applyFill="1" applyBorder="1" applyAlignment="1">
      <alignment horizontal="center" vertical="center" wrapText="1"/>
    </xf>
    <xf numFmtId="0" fontId="31" fillId="12" borderId="11" xfId="5" applyFont="1" applyFill="1" applyBorder="1" applyAlignment="1">
      <alignment horizontal="center" vertical="center" wrapText="1"/>
    </xf>
    <xf numFmtId="0" fontId="31" fillId="12" borderId="8" xfId="5" applyFont="1" applyFill="1" applyBorder="1" applyAlignment="1">
      <alignment horizontal="center" vertical="center" wrapText="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59" fillId="28" borderId="31" xfId="0" applyFont="1" applyFill="1" applyBorder="1" applyAlignment="1" applyProtection="1">
      <alignment horizontal="center" vertical="center" wrapText="1"/>
      <protection locked="0"/>
    </xf>
    <xf numFmtId="0" fontId="59" fillId="28" borderId="38" xfId="0" applyFont="1" applyFill="1" applyBorder="1" applyAlignment="1" applyProtection="1">
      <alignment horizontal="center" vertical="center" wrapText="1"/>
      <protection locked="0"/>
    </xf>
    <xf numFmtId="0" fontId="59" fillId="28" borderId="32" xfId="0" applyFont="1" applyFill="1" applyBorder="1" applyAlignment="1" applyProtection="1">
      <alignment horizontal="center" vertical="center" wrapText="1"/>
      <protection locked="0"/>
    </xf>
    <xf numFmtId="0" fontId="59" fillId="28" borderId="36" xfId="0" applyFont="1" applyFill="1" applyBorder="1" applyAlignment="1" applyProtection="1">
      <alignment horizontal="center" vertical="center" wrapText="1"/>
      <protection locked="0"/>
    </xf>
    <xf numFmtId="0" fontId="59" fillId="28" borderId="33" xfId="0" applyFont="1" applyFill="1" applyBorder="1" applyAlignment="1" applyProtection="1">
      <alignment horizontal="center" vertical="center" wrapText="1"/>
      <protection locked="0"/>
    </xf>
    <xf numFmtId="0" fontId="59" fillId="28" borderId="39" xfId="0" applyFont="1" applyFill="1" applyBorder="1" applyAlignment="1" applyProtection="1">
      <alignment horizontal="center" vertical="center" wrapText="1"/>
      <protection locked="0"/>
    </xf>
    <xf numFmtId="0" fontId="36" fillId="13" borderId="2" xfId="5" applyFont="1" applyFill="1" applyBorder="1" applyAlignment="1">
      <alignment horizontal="center" vertical="top" wrapText="1"/>
    </xf>
    <xf numFmtId="0" fontId="36" fillId="13" borderId="10" xfId="5" applyFont="1" applyFill="1" applyBorder="1" applyAlignment="1">
      <alignment horizontal="center" vertical="top" wrapText="1"/>
    </xf>
    <xf numFmtId="0" fontId="33" fillId="0" borderId="0" xfId="5" applyFont="1" applyFill="1" applyBorder="1" applyAlignment="1">
      <alignment horizontal="center" vertical="center" wrapText="1"/>
    </xf>
    <xf numFmtId="164" fontId="33" fillId="0" borderId="0" xfId="4" applyFont="1" applyFill="1" applyBorder="1" applyAlignment="1">
      <alignment horizontal="left" vertical="center" wrapText="1"/>
    </xf>
    <xf numFmtId="0" fontId="37" fillId="0" borderId="0" xfId="5" applyFont="1" applyFill="1" applyBorder="1" applyAlignment="1">
      <alignment horizontal="justify" vertical="center" wrapText="1"/>
    </xf>
    <xf numFmtId="0" fontId="33" fillId="13" borderId="2" xfId="5" applyFont="1" applyFill="1" applyBorder="1" applyAlignment="1">
      <alignment horizontal="center" vertical="center" wrapText="1"/>
    </xf>
    <xf numFmtId="0" fontId="33" fillId="13" borderId="10" xfId="5" applyFont="1" applyFill="1" applyBorder="1" applyAlignment="1">
      <alignment horizontal="center" vertical="center" wrapText="1"/>
    </xf>
    <xf numFmtId="0" fontId="35" fillId="13" borderId="14" xfId="5" applyFont="1" applyFill="1" applyBorder="1" applyAlignment="1">
      <alignment horizontal="center" vertical="top" wrapText="1"/>
    </xf>
    <xf numFmtId="0" fontId="35" fillId="13" borderId="15" xfId="5" applyFont="1" applyFill="1" applyBorder="1" applyAlignment="1">
      <alignment horizontal="center" vertical="top" wrapText="1"/>
    </xf>
    <xf numFmtId="0" fontId="35" fillId="13" borderId="3" xfId="5" applyFont="1" applyFill="1" applyBorder="1" applyAlignment="1">
      <alignment horizontal="center" vertical="top" wrapText="1"/>
    </xf>
    <xf numFmtId="0" fontId="31" fillId="14" borderId="14" xfId="5" applyFont="1" applyFill="1" applyBorder="1" applyAlignment="1">
      <alignment horizontal="center" vertical="top" wrapText="1"/>
    </xf>
    <xf numFmtId="0" fontId="31" fillId="14" borderId="15" xfId="5" applyFont="1" applyFill="1" applyBorder="1" applyAlignment="1">
      <alignment horizontal="center" vertical="top" wrapText="1"/>
    </xf>
    <xf numFmtId="0" fontId="34" fillId="13" borderId="14"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0" fillId="0" borderId="3" xfId="5" applyFont="1" applyFill="1" applyBorder="1" applyAlignment="1">
      <alignment horizontal="left" vertical="top" wrapText="1"/>
    </xf>
    <xf numFmtId="0" fontId="33" fillId="0" borderId="0" xfId="5" applyFont="1" applyFill="1" applyBorder="1" applyAlignment="1">
      <alignment horizontal="left" vertical="center" wrapText="1"/>
    </xf>
    <xf numFmtId="0" fontId="30" fillId="0" borderId="0" xfId="5" applyFont="1" applyFill="1" applyBorder="1" applyAlignment="1">
      <alignment horizontal="left" vertical="center" wrapText="1"/>
    </xf>
    <xf numFmtId="0" fontId="39" fillId="11" borderId="11" xfId="5" applyFont="1" applyFill="1" applyBorder="1" applyAlignment="1">
      <alignment horizontal="center" vertical="center"/>
    </xf>
    <xf numFmtId="0" fontId="39" fillId="13" borderId="2" xfId="5" applyFont="1" applyFill="1" applyBorder="1" applyAlignment="1">
      <alignment horizontal="center" vertical="center" wrapText="1"/>
    </xf>
    <xf numFmtId="0" fontId="39" fillId="13" borderId="50" xfId="5" applyFont="1" applyFill="1" applyBorder="1" applyAlignment="1">
      <alignment horizontal="center" vertical="center" wrapText="1"/>
    </xf>
    <xf numFmtId="0" fontId="39" fillId="13" borderId="14" xfId="5" applyFont="1" applyFill="1" applyBorder="1" applyAlignment="1">
      <alignment horizontal="center" vertical="center" wrapText="1"/>
    </xf>
    <xf numFmtId="0" fontId="39" fillId="13" borderId="7" xfId="5" applyFont="1" applyFill="1" applyBorder="1" applyAlignment="1">
      <alignment horizontal="center" vertical="center" wrapText="1"/>
    </xf>
    <xf numFmtId="0" fontId="43" fillId="0" borderId="2" xfId="5" applyFont="1" applyBorder="1" applyAlignment="1">
      <alignment horizontal="center"/>
    </xf>
    <xf numFmtId="0" fontId="43" fillId="0" borderId="3" xfId="5" applyFont="1" applyBorder="1" applyAlignment="1">
      <alignment horizontal="center"/>
    </xf>
    <xf numFmtId="0" fontId="32" fillId="0" borderId="3" xfId="5" applyBorder="1" applyAlignment="1">
      <alignment horizontal="center"/>
    </xf>
    <xf numFmtId="0" fontId="43" fillId="0" borderId="4" xfId="5" applyFont="1" applyBorder="1" applyAlignment="1">
      <alignment horizontal="center"/>
    </xf>
    <xf numFmtId="0" fontId="43" fillId="0" borderId="9" xfId="5" applyFont="1" applyBorder="1" applyAlignment="1">
      <alignment horizontal="center"/>
    </xf>
    <xf numFmtId="0" fontId="43" fillId="0" borderId="0" xfId="5" applyFont="1" applyAlignment="1">
      <alignment horizontal="center"/>
    </xf>
    <xf numFmtId="0" fontId="32" fillId="0" borderId="0" xfId="5" applyAlignment="1">
      <alignment horizontal="center"/>
    </xf>
    <xf numFmtId="0" fontId="43" fillId="0" borderId="6" xfId="5" applyFont="1" applyBorder="1" applyAlignment="1">
      <alignment horizontal="center"/>
    </xf>
    <xf numFmtId="0" fontId="43" fillId="0" borderId="10" xfId="5" applyFont="1" applyBorder="1" applyAlignment="1">
      <alignment horizontal="center"/>
    </xf>
    <xf numFmtId="0" fontId="43" fillId="0" borderId="11" xfId="5" applyFont="1" applyBorder="1" applyAlignment="1">
      <alignment horizontal="center"/>
    </xf>
    <xf numFmtId="0" fontId="32" fillId="0" borderId="11" xfId="5" applyBorder="1" applyAlignment="1">
      <alignment horizontal="center"/>
    </xf>
    <xf numFmtId="0" fontId="43" fillId="0" borderId="8" xfId="5" applyFont="1" applyBorder="1" applyAlignment="1">
      <alignment horizontal="center"/>
    </xf>
    <xf numFmtId="0" fontId="44" fillId="0" borderId="51" xfId="0" applyFont="1" applyBorder="1" applyAlignment="1">
      <alignment horizontal="center" vertical="center" wrapText="1"/>
    </xf>
    <xf numFmtId="0" fontId="44" fillId="0" borderId="51" xfId="0" applyFont="1" applyBorder="1" applyAlignment="1">
      <alignment horizontal="center" vertical="center"/>
    </xf>
    <xf numFmtId="0" fontId="44" fillId="0" borderId="52" xfId="0" applyFont="1" applyBorder="1" applyAlignment="1">
      <alignment horizontal="center" vertical="center"/>
    </xf>
    <xf numFmtId="49" fontId="45" fillId="0" borderId="53" xfId="5" applyNumberFormat="1" applyFont="1" applyBorder="1" applyAlignment="1">
      <alignment horizontal="center" vertical="center" wrapText="1"/>
    </xf>
    <xf numFmtId="49" fontId="45" fillId="0" borderId="56" xfId="5" applyNumberFormat="1" applyFont="1" applyBorder="1" applyAlignment="1">
      <alignment horizontal="center" vertical="center" wrapText="1"/>
    </xf>
    <xf numFmtId="49" fontId="46" fillId="0" borderId="53" xfId="5" applyNumberFormat="1" applyFont="1" applyBorder="1" applyAlignment="1">
      <alignment horizontal="center" vertical="center" wrapText="1"/>
    </xf>
    <xf numFmtId="49" fontId="45" fillId="0" borderId="56" xfId="5" applyNumberFormat="1" applyFont="1" applyBorder="1" applyAlignment="1">
      <alignment horizontal="center" vertical="center"/>
    </xf>
    <xf numFmtId="0" fontId="45" fillId="0" borderId="56" xfId="5" applyFont="1" applyBorder="1" applyAlignment="1">
      <alignment horizontal="center" vertical="center" wrapText="1"/>
    </xf>
    <xf numFmtId="49" fontId="45" fillId="0" borderId="54" xfId="5" applyNumberFormat="1" applyFont="1" applyBorder="1" applyAlignment="1">
      <alignment horizontal="center" vertical="center" wrapText="1"/>
    </xf>
    <xf numFmtId="49" fontId="45" fillId="0" borderId="51" xfId="5" applyNumberFormat="1" applyFont="1" applyBorder="1" applyAlignment="1">
      <alignment horizontal="center" vertical="center" wrapText="1"/>
    </xf>
    <xf numFmtId="49" fontId="45" fillId="0" borderId="52" xfId="5" applyNumberFormat="1" applyFont="1" applyBorder="1" applyAlignment="1">
      <alignment horizontal="center" vertical="center" wrapText="1"/>
    </xf>
    <xf numFmtId="49" fontId="45" fillId="9" borderId="55" xfId="5" applyNumberFormat="1" applyFont="1" applyFill="1" applyBorder="1" applyAlignment="1">
      <alignment horizontal="center" vertical="center" wrapText="1"/>
    </xf>
    <xf numFmtId="49" fontId="45" fillId="9" borderId="53" xfId="5" applyNumberFormat="1" applyFont="1" applyFill="1" applyBorder="1" applyAlignment="1">
      <alignment horizontal="center" vertical="center" wrapText="1"/>
    </xf>
    <xf numFmtId="49" fontId="45" fillId="0" borderId="55" xfId="5" applyNumberFormat="1" applyFont="1" applyBorder="1" applyAlignment="1">
      <alignment horizontal="center" vertical="center" wrapText="1"/>
    </xf>
    <xf numFmtId="0" fontId="33" fillId="11" borderId="11" xfId="5" applyFont="1" applyFill="1" applyBorder="1" applyAlignment="1">
      <alignment horizontal="center" vertical="center"/>
    </xf>
    <xf numFmtId="0" fontId="33" fillId="13" borderId="4" xfId="5" applyFont="1" applyFill="1" applyBorder="1" applyAlignment="1">
      <alignment horizontal="center" vertical="center" wrapText="1"/>
    </xf>
    <xf numFmtId="0" fontId="33" fillId="13" borderId="14" xfId="5" applyFont="1" applyFill="1" applyBorder="1" applyAlignment="1">
      <alignment horizontal="center" vertical="center" wrapText="1"/>
    </xf>
    <xf numFmtId="0" fontId="33" fillId="13" borderId="7" xfId="5" applyFont="1" applyFill="1" applyBorder="1" applyAlignment="1">
      <alignment horizontal="center" vertical="center" wrapText="1"/>
    </xf>
    <xf numFmtId="49" fontId="48" fillId="23" borderId="62" xfId="0" applyNumberFormat="1" applyFont="1" applyFill="1" applyBorder="1" applyAlignment="1">
      <alignment horizontal="center" vertical="center" wrapText="1"/>
    </xf>
    <xf numFmtId="49" fontId="48" fillId="23" borderId="64" xfId="0" applyNumberFormat="1" applyFont="1" applyFill="1" applyBorder="1" applyAlignment="1">
      <alignment horizontal="center" vertical="center" wrapText="1"/>
    </xf>
    <xf numFmtId="49" fontId="48" fillId="23" borderId="62" xfId="0" quotePrefix="1" applyNumberFormat="1" applyFont="1" applyFill="1" applyBorder="1" applyAlignment="1">
      <alignment horizontal="center" vertical="center" wrapText="1"/>
    </xf>
    <xf numFmtId="49" fontId="48" fillId="23" borderId="64" xfId="0" quotePrefix="1" applyNumberFormat="1" applyFont="1" applyFill="1" applyBorder="1" applyAlignment="1">
      <alignment horizontal="center" vertical="center" wrapText="1"/>
    </xf>
    <xf numFmtId="49" fontId="48" fillId="0" borderId="59" xfId="0" quotePrefix="1" applyNumberFormat="1" applyFont="1" applyBorder="1" applyAlignment="1">
      <alignment horizontal="center" vertical="center" wrapText="1"/>
    </xf>
    <xf numFmtId="0" fontId="33" fillId="13" borderId="2" xfId="5" quotePrefix="1"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0" fillId="0" borderId="16" xfId="0" applyBorder="1" applyAlignment="1" applyProtection="1">
      <alignment horizontal="center" vertical="top" wrapText="1"/>
      <protection locked="0"/>
    </xf>
    <xf numFmtId="0" fontId="0" fillId="0" borderId="18" xfId="0" applyBorder="1" applyAlignment="1" applyProtection="1">
      <alignment horizontal="center" vertical="top"/>
      <protection locked="0"/>
    </xf>
    <xf numFmtId="0" fontId="0" fillId="0" borderId="20" xfId="0" applyBorder="1" applyAlignment="1" applyProtection="1">
      <alignment horizontal="center" vertical="top"/>
      <protection locked="0"/>
    </xf>
    <xf numFmtId="4" fontId="0" fillId="0" borderId="18" xfId="0" applyNumberFormat="1" applyBorder="1" applyAlignment="1" applyProtection="1">
      <alignment horizontal="center" vertical="top"/>
      <protection locked="0"/>
    </xf>
    <xf numFmtId="4" fontId="0" fillId="0" borderId="20" xfId="0" applyNumberFormat="1" applyBorder="1" applyAlignment="1" applyProtection="1">
      <alignment horizontal="center" vertical="top"/>
      <protection locked="0"/>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17" fillId="3" borderId="14" xfId="2" applyFill="1" applyBorder="1" applyAlignment="1" applyProtection="1">
      <alignment vertical="top" wrapText="1"/>
      <protection locked="0"/>
    </xf>
    <xf numFmtId="0" fontId="4" fillId="3" borderId="7" xfId="0" applyFont="1" applyFill="1" applyBorder="1" applyAlignment="1" applyProtection="1">
      <alignment vertical="top" wrapText="1"/>
      <protection locked="0"/>
    </xf>
    <xf numFmtId="0" fontId="4" fillId="3" borderId="14" xfId="0" applyFont="1" applyFill="1" applyBorder="1" applyAlignment="1" applyProtection="1">
      <alignment vertical="top" wrapText="1"/>
      <protection locked="0"/>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4" fillId="0" borderId="29" xfId="0" applyFont="1" applyBorder="1" applyAlignment="1">
      <alignment horizontal="left"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1" xfId="0" applyFont="1" applyBorder="1" applyAlignment="1">
      <alignment horizontal="center" vertical="top"/>
    </xf>
    <xf numFmtId="0" fontId="8" fillId="0" borderId="13" xfId="0" applyFont="1" applyBorder="1" applyAlignment="1">
      <alignment horizontal="center" vertical="top"/>
    </xf>
    <xf numFmtId="0" fontId="4" fillId="0" borderId="0" xfId="0" applyFont="1" applyBorder="1" applyAlignment="1" applyProtection="1">
      <alignment horizontal="right" vertical="top" wrapText="1"/>
    </xf>
    <xf numFmtId="0" fontId="0" fillId="0" borderId="27" xfId="0"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0" fontId="0" fillId="0" borderId="27" xfId="0" applyFill="1" applyBorder="1" applyAlignment="1" applyProtection="1">
      <alignment horizontal="left" vertical="top" wrapText="1"/>
      <protection locked="0"/>
    </xf>
    <xf numFmtId="0" fontId="0" fillId="0" borderId="0" xfId="0" applyFill="1" applyAlignment="1" applyProtection="1">
      <alignment horizontal="left" vertical="top" wrapText="1"/>
      <protection locked="0"/>
    </xf>
    <xf numFmtId="0" fontId="14" fillId="0" borderId="0" xfId="0" applyFont="1" applyFill="1" applyBorder="1" applyAlignment="1" applyProtection="1">
      <alignment horizontal="left" vertical="top" wrapText="1"/>
      <protection locked="0"/>
    </xf>
    <xf numFmtId="0" fontId="4" fillId="0" borderId="1" xfId="0" applyFont="1" applyBorder="1" applyAlignment="1" applyProtection="1">
      <alignment vertical="top" wrapText="1"/>
    </xf>
    <xf numFmtId="0" fontId="4" fillId="0" borderId="5" xfId="0" applyFont="1" applyBorder="1" applyAlignment="1" applyProtection="1">
      <alignment vertical="top" wrapText="1"/>
    </xf>
    <xf numFmtId="0" fontId="4" fillId="0" borderId="13" xfId="0" applyFont="1" applyBorder="1" applyAlignment="1" applyProtection="1">
      <alignment vertical="top" wrapText="1"/>
    </xf>
    <xf numFmtId="0" fontId="4" fillId="0" borderId="29" xfId="0" applyFont="1" applyBorder="1" applyAlignment="1" applyProtection="1">
      <alignment vertical="top" wrapText="1"/>
    </xf>
    <xf numFmtId="0" fontId="4" fillId="0" borderId="2" xfId="0" applyFont="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3" fillId="0" borderId="10" xfId="0" applyFont="1" applyBorder="1" applyAlignment="1" applyProtection="1">
      <alignment vertical="top" wrapText="1"/>
    </xf>
    <xf numFmtId="0" fontId="3" fillId="0" borderId="11" xfId="0" applyFont="1" applyBorder="1" applyAlignment="1" applyProtection="1">
      <alignment vertical="top" wrapText="1"/>
    </xf>
    <xf numFmtId="0" fontId="3" fillId="0" borderId="8" xfId="0" applyFont="1" applyBorder="1" applyAlignment="1" applyProtection="1">
      <alignment vertical="top" wrapText="1"/>
    </xf>
    <xf numFmtId="0" fontId="4" fillId="0" borderId="14" xfId="0" applyFont="1" applyBorder="1" applyAlignment="1" applyProtection="1">
      <alignment vertical="top" wrapText="1"/>
    </xf>
    <xf numFmtId="0" fontId="4" fillId="0" borderId="15" xfId="0" applyFont="1" applyBorder="1" applyAlignment="1" applyProtection="1">
      <alignment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3" fillId="3" borderId="0" xfId="0" applyFont="1" applyFill="1" applyBorder="1" applyAlignment="1" applyProtection="1">
      <alignment horizontal="center" vertical="top" wrapText="1"/>
      <protection locked="0"/>
    </xf>
    <xf numFmtId="0" fontId="8" fillId="0" borderId="16" xfId="0" applyFont="1" applyBorder="1" applyAlignment="1">
      <alignment horizontal="center" vertical="top"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8" fillId="0" borderId="1" xfId="0" applyFont="1" applyBorder="1" applyAlignment="1">
      <alignment vertical="top" wrapText="1"/>
    </xf>
    <xf numFmtId="0" fontId="8" fillId="0" borderId="13" xfId="0" applyFont="1" applyBorder="1" applyAlignment="1">
      <alignment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8" fillId="0" borderId="5" xfId="0" applyFont="1" applyBorder="1" applyAlignment="1">
      <alignment vertical="top"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7"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5"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0" borderId="14" xfId="0" applyFont="1" applyBorder="1" applyAlignment="1">
      <alignment horizontal="left" vertical="center"/>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7" xfId="0" applyFont="1" applyBorder="1" applyAlignment="1">
      <alignmen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0" fillId="0" borderId="5" xfId="0" applyBorder="1" applyAlignment="1">
      <alignment horizontal="center" vertical="center"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4" fillId="3" borderId="14" xfId="0" applyFont="1" applyFill="1" applyBorder="1" applyAlignment="1" applyProtection="1">
      <alignment horizontal="left" vertical="top" wrapText="1"/>
      <protection locked="0"/>
    </xf>
    <xf numFmtId="0" fontId="4" fillId="3" borderId="15"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4" fillId="0" borderId="4" xfId="0" applyFont="1" applyBorder="1" applyAlignment="1">
      <alignment vertical="top"/>
    </xf>
    <xf numFmtId="0" fontId="4" fillId="0" borderId="17" xfId="0" applyFont="1" applyBorder="1" applyAlignment="1">
      <alignment vertical="top"/>
    </xf>
    <xf numFmtId="0" fontId="22" fillId="32" borderId="9" xfId="0" applyFont="1" applyFill="1" applyBorder="1" applyAlignment="1">
      <alignment horizontal="center" wrapText="1"/>
    </xf>
    <xf numFmtId="0" fontId="22" fillId="32" borderId="6" xfId="0" applyFont="1" applyFill="1" applyBorder="1" applyAlignment="1">
      <alignment horizontal="center" wrapText="1"/>
    </xf>
    <xf numFmtId="0" fontId="4" fillId="0" borderId="6" xfId="0" applyFont="1" applyBorder="1" applyAlignment="1">
      <alignment horizontal="center" vertical="top" wrapText="1"/>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9" fillId="0" borderId="60" xfId="0" applyFont="1" applyBorder="1" applyAlignment="1"/>
    <xf numFmtId="0" fontId="49" fillId="0" borderId="61" xfId="0" applyFont="1" applyBorder="1" applyAlignment="1"/>
  </cellXfs>
  <cellStyles count="6">
    <cellStyle name="Bueno" xfId="1" builtinId="26"/>
    <cellStyle name="Hipervínculo" xfId="2" builtinId="8"/>
    <cellStyle name="Millares" xfId="4" builtinId="3"/>
    <cellStyle name="Normal" xfId="0" builtinId="0"/>
    <cellStyle name="Normal 2" xfId="5" xr:uid="{00000000-0005-0000-0000-000005000000}"/>
    <cellStyle name="Porcentaje" xfId="3" builtinId="5"/>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s>
  <tableStyles count="0" defaultTableStyle="TableStyleMedium2" defaultPivotStyle="PivotStyleLight16"/>
  <colors>
    <mruColors>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8.png"/><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a16="http://schemas.microsoft.com/office/drawing/2014/main" id="{00000000-0008-0000-0000-00000A000000}"/>
            </a:ext>
          </a:extLst>
        </xdr:cNvPr>
        <xdr:cNvGrpSpPr>
          <a:grpSpLocks/>
        </xdr:cNvGrpSpPr>
      </xdr:nvGrpSpPr>
      <xdr:grpSpPr bwMode="auto">
        <a:xfrm>
          <a:off x="2" y="0"/>
          <a:ext cx="10058398" cy="1657350"/>
          <a:chOff x="57151" y="47625"/>
          <a:chExt cx="6181724" cy="1581150"/>
        </a:xfrm>
      </xdr:grpSpPr>
      <xdr:pic>
        <xdr:nvPicPr>
          <xdr:cNvPr id="11" name="1 Imagen" descr="ESCUDO-transp-lema-blanc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479213"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186612</xdr:colOff>
      <xdr:row>61</xdr:row>
      <xdr:rowOff>124408</xdr:rowOff>
    </xdr:from>
    <xdr:to>
      <xdr:col>2</xdr:col>
      <xdr:colOff>1772319</xdr:colOff>
      <xdr:row>63</xdr:row>
      <xdr:rowOff>23241</xdr:rowOff>
    </xdr:to>
    <xdr:pic>
      <xdr:nvPicPr>
        <xdr:cNvPr id="6" name="Imagen 5">
          <a:extLst>
            <a:ext uri="{FF2B5EF4-FFF2-40B4-BE49-F238E27FC236}">
              <a16:creationId xmlns:a16="http://schemas.microsoft.com/office/drawing/2014/main" id="{F9492CC5-BFE7-4A13-8775-68A25CBD71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7687" y="19564933"/>
          <a:ext cx="147432" cy="413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6D862645-D54F-4327-858D-B414D6D1C7B2}"/>
            </a:ext>
          </a:extLst>
        </xdr:cNvPr>
        <xdr:cNvGrpSpPr>
          <a:grpSpLocks/>
        </xdr:cNvGrpSpPr>
      </xdr:nvGrpSpPr>
      <xdr:grpSpPr bwMode="auto">
        <a:xfrm>
          <a:off x="0" y="0"/>
          <a:ext cx="5479213" cy="1280725"/>
          <a:chOff x="57150" y="47625"/>
          <a:chExt cx="6316603" cy="1200288"/>
        </a:xfrm>
      </xdr:grpSpPr>
      <xdr:pic>
        <xdr:nvPicPr>
          <xdr:cNvPr id="8" name="1 Imagen" descr="ESCUDO-transp-lema-blanco.png">
            <a:extLst>
              <a:ext uri="{FF2B5EF4-FFF2-40B4-BE49-F238E27FC236}">
                <a16:creationId xmlns:a16="http://schemas.microsoft.com/office/drawing/2014/main" id="{CE0E5D5D-6A30-4CA8-9BDB-84EF4B0F06F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9233D07C-249C-49D1-A5B5-446E7B09770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548640</xdr:colOff>
      <xdr:row>62</xdr:row>
      <xdr:rowOff>160020</xdr:rowOff>
    </xdr:from>
    <xdr:to>
      <xdr:col>2</xdr:col>
      <xdr:colOff>1714601</xdr:colOff>
      <xdr:row>64</xdr:row>
      <xdr:rowOff>60983</xdr:rowOff>
    </xdr:to>
    <xdr:pic>
      <xdr:nvPicPr>
        <xdr:cNvPr id="6" name="Imagen 5">
          <a:extLst>
            <a:ext uri="{FF2B5EF4-FFF2-40B4-BE49-F238E27FC236}">
              <a16:creationId xmlns:a16="http://schemas.microsoft.com/office/drawing/2014/main" id="{D1EAFBFF-BDD7-4846-8F74-3FEF3055DFD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0" y="18571845"/>
          <a:ext cx="3911" cy="529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1F970A2C-15C1-4114-9FE3-826881A1E8A5}"/>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1E0C8437-3C11-4817-AC20-CDF3DDB3C3C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7E10DE5E-6DCC-45F7-957C-8B895AC696D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381000</xdr:colOff>
      <xdr:row>66</xdr:row>
      <xdr:rowOff>160020</xdr:rowOff>
    </xdr:from>
    <xdr:to>
      <xdr:col>2</xdr:col>
      <xdr:colOff>2065166</xdr:colOff>
      <xdr:row>68</xdr:row>
      <xdr:rowOff>60983</xdr:rowOff>
    </xdr:to>
    <xdr:pic>
      <xdr:nvPicPr>
        <xdr:cNvPr id="6" name="Imagen 5">
          <a:extLst>
            <a:ext uri="{FF2B5EF4-FFF2-40B4-BE49-F238E27FC236}">
              <a16:creationId xmlns:a16="http://schemas.microsoft.com/office/drawing/2014/main" id="{811A7F5E-25FE-464C-B078-25FF6353E1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1257895"/>
          <a:ext cx="0" cy="3558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C4A4AC7B-8073-42AE-A2C3-B9CFC8E98169}"/>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88FC0297-9580-4983-A055-C0FC8F5F8D4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6270DE23-739E-45A6-8995-7EE8AADECA3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30481</xdr:colOff>
      <xdr:row>87</xdr:row>
      <xdr:rowOff>144780</xdr:rowOff>
    </xdr:from>
    <xdr:to>
      <xdr:col>2</xdr:col>
      <xdr:colOff>2372310</xdr:colOff>
      <xdr:row>87</xdr:row>
      <xdr:rowOff>240800</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98</xdr:row>
      <xdr:rowOff>0</xdr:rowOff>
    </xdr:from>
    <xdr:to>
      <xdr:col>2</xdr:col>
      <xdr:colOff>1718424</xdr:colOff>
      <xdr:row>99</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104</xdr:row>
      <xdr:rowOff>15240</xdr:rowOff>
    </xdr:from>
    <xdr:to>
      <xdr:col>2</xdr:col>
      <xdr:colOff>1654392</xdr:colOff>
      <xdr:row>105</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110</xdr:row>
      <xdr:rowOff>144780</xdr:rowOff>
    </xdr:from>
    <xdr:to>
      <xdr:col>2</xdr:col>
      <xdr:colOff>1655918</xdr:colOff>
      <xdr:row>111</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117</xdr:row>
      <xdr:rowOff>53341</xdr:rowOff>
    </xdr:from>
    <xdr:to>
      <xdr:col>2</xdr:col>
      <xdr:colOff>2206150</xdr:colOff>
      <xdr:row>118</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30481</xdr:colOff>
      <xdr:row>87</xdr:row>
      <xdr:rowOff>144780</xdr:rowOff>
    </xdr:from>
    <xdr:to>
      <xdr:col>2</xdr:col>
      <xdr:colOff>2372310</xdr:colOff>
      <xdr:row>87</xdr:row>
      <xdr:rowOff>240800</xdr:rowOff>
    </xdr:to>
    <xdr:pic>
      <xdr:nvPicPr>
        <xdr:cNvPr id="10" name="Imagen 9">
          <a:extLst>
            <a:ext uri="{FF2B5EF4-FFF2-40B4-BE49-F238E27FC236}">
              <a16:creationId xmlns:a16="http://schemas.microsoft.com/office/drawing/2014/main" id="{1D74EF79-9DBA-406F-A2DC-29F1DBCE203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1556" y="30024705"/>
          <a:ext cx="303479" cy="4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98</xdr:row>
      <xdr:rowOff>0</xdr:rowOff>
    </xdr:from>
    <xdr:to>
      <xdr:col>2</xdr:col>
      <xdr:colOff>1718424</xdr:colOff>
      <xdr:row>99</xdr:row>
      <xdr:rowOff>3826</xdr:rowOff>
    </xdr:to>
    <xdr:pic>
      <xdr:nvPicPr>
        <xdr:cNvPr id="11" name="Imagen 10">
          <a:extLst>
            <a:ext uri="{FF2B5EF4-FFF2-40B4-BE49-F238E27FC236}">
              <a16:creationId xmlns:a16="http://schemas.microsoft.com/office/drawing/2014/main" id="{96652C9C-4A92-4A55-AE16-A5FED2B6F41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356" y="37176075"/>
          <a:ext cx="2018"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104</xdr:row>
      <xdr:rowOff>15240</xdr:rowOff>
    </xdr:from>
    <xdr:to>
      <xdr:col>2</xdr:col>
      <xdr:colOff>1654392</xdr:colOff>
      <xdr:row>105</xdr:row>
      <xdr:rowOff>19066</xdr:rowOff>
    </xdr:to>
    <xdr:pic>
      <xdr:nvPicPr>
        <xdr:cNvPr id="12" name="Imagen 11">
          <a:extLst>
            <a:ext uri="{FF2B5EF4-FFF2-40B4-BE49-F238E27FC236}">
              <a16:creationId xmlns:a16="http://schemas.microsoft.com/office/drawing/2014/main" id="{9E62AF61-D775-4D86-9F15-F2478590A8C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1" y="39324915"/>
          <a:ext cx="851"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110</xdr:row>
      <xdr:rowOff>144780</xdr:rowOff>
    </xdr:from>
    <xdr:to>
      <xdr:col>2</xdr:col>
      <xdr:colOff>1655918</xdr:colOff>
      <xdr:row>111</xdr:row>
      <xdr:rowOff>148606</xdr:rowOff>
    </xdr:to>
    <xdr:pic>
      <xdr:nvPicPr>
        <xdr:cNvPr id="13" name="Imagen 12">
          <a:extLst>
            <a:ext uri="{FF2B5EF4-FFF2-40B4-BE49-F238E27FC236}">
              <a16:creationId xmlns:a16="http://schemas.microsoft.com/office/drawing/2014/main" id="{FAFC6224-0996-4141-987B-AD7917314054}"/>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41016555"/>
          <a:ext cx="0"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117</xdr:row>
      <xdr:rowOff>53341</xdr:rowOff>
    </xdr:from>
    <xdr:to>
      <xdr:col>2</xdr:col>
      <xdr:colOff>2206150</xdr:colOff>
      <xdr:row>118</xdr:row>
      <xdr:rowOff>41164</xdr:rowOff>
    </xdr:to>
    <xdr:pic>
      <xdr:nvPicPr>
        <xdr:cNvPr id="14" name="Imagen 13">
          <a:extLst>
            <a:ext uri="{FF2B5EF4-FFF2-40B4-BE49-F238E27FC236}">
              <a16:creationId xmlns:a16="http://schemas.microsoft.com/office/drawing/2014/main" id="{4FCB7C5F-FD64-461C-B593-AE7F302EFC3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42677716"/>
          <a:ext cx="0" cy="46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4882D1A9-0455-418C-A747-F8581C3460F1}"/>
            </a:ext>
          </a:extLst>
        </xdr:cNvPr>
        <xdr:cNvGrpSpPr>
          <a:grpSpLocks/>
        </xdr:cNvGrpSpPr>
      </xdr:nvGrpSpPr>
      <xdr:grpSpPr bwMode="auto">
        <a:xfrm>
          <a:off x="0" y="0"/>
          <a:ext cx="5279188" cy="1280725"/>
          <a:chOff x="57150" y="47625"/>
          <a:chExt cx="6316603" cy="1200288"/>
        </a:xfrm>
      </xdr:grpSpPr>
      <xdr:pic>
        <xdr:nvPicPr>
          <xdr:cNvPr id="16" name="1 Imagen" descr="ESCUDO-transp-lema-blanco.png">
            <a:extLst>
              <a:ext uri="{FF2B5EF4-FFF2-40B4-BE49-F238E27FC236}">
                <a16:creationId xmlns:a16="http://schemas.microsoft.com/office/drawing/2014/main" id="{2B57063F-D69E-4A08-ADB9-35DB54A449B1}"/>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A12FACB1-8938-4DFB-A84F-45202B86C07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518160</xdr:colOff>
      <xdr:row>91</xdr:row>
      <xdr:rowOff>0</xdr:rowOff>
    </xdr:from>
    <xdr:to>
      <xdr:col>2</xdr:col>
      <xdr:colOff>1920362</xdr:colOff>
      <xdr:row>92</xdr:row>
      <xdr:rowOff>83843</xdr:rowOff>
    </xdr:to>
    <xdr:pic>
      <xdr:nvPicPr>
        <xdr:cNvPr id="6" name="Imagen 5">
          <a:extLst>
            <a:ext uri="{FF2B5EF4-FFF2-40B4-BE49-F238E27FC236}">
              <a16:creationId xmlns:a16="http://schemas.microsoft.com/office/drawing/2014/main" id="{A84DF4CF-E551-4380-8DB7-EEBE970CE34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36623625"/>
          <a:ext cx="0" cy="541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4B13A32-3C60-49AA-9492-595961DFCA62}"/>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C6773CC4-18FE-4E28-B27C-CBD86C8957C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6987A985-8FA0-42BA-945C-E80C0698718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52791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640080</xdr:colOff>
      <xdr:row>82</xdr:row>
      <xdr:rowOff>38100</xdr:rowOff>
    </xdr:from>
    <xdr:to>
      <xdr:col>2</xdr:col>
      <xdr:colOff>1680300</xdr:colOff>
      <xdr:row>83</xdr:row>
      <xdr:rowOff>68598</xdr:rowOff>
    </xdr:to>
    <xdr:pic>
      <xdr:nvPicPr>
        <xdr:cNvPr id="7" name="Imagen 6">
          <a:extLst>
            <a:ext uri="{FF2B5EF4-FFF2-40B4-BE49-F238E27FC236}">
              <a16:creationId xmlns:a16="http://schemas.microsoft.com/office/drawing/2014/main" id="{E9FC3A08-5D62-461E-9B0A-DC3FC8E053A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355" y="29946600"/>
          <a:ext cx="1995" cy="1097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8" name="Imagen 7">
          <a:extLst>
            <a:ext uri="{FF2B5EF4-FFF2-40B4-BE49-F238E27FC236}">
              <a16:creationId xmlns:a16="http://schemas.microsoft.com/office/drawing/2014/main" id="{C5001C4E-D61F-4DC7-BAB9-1FFE4E2D6B1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6814125"/>
          <a:ext cx="96" cy="685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F7CE8A11-46C4-4155-84AE-88A8AB018F0E}"/>
            </a:ext>
          </a:extLst>
        </xdr:cNvPr>
        <xdr:cNvGrpSpPr>
          <a:grpSpLocks/>
        </xdr:cNvGrpSpPr>
      </xdr:nvGrpSpPr>
      <xdr:grpSpPr bwMode="auto">
        <a:xfrm>
          <a:off x="0" y="0"/>
          <a:ext cx="5279188" cy="1280725"/>
          <a:chOff x="57150" y="47625"/>
          <a:chExt cx="6316603" cy="1200288"/>
        </a:xfrm>
      </xdr:grpSpPr>
      <xdr:pic>
        <xdr:nvPicPr>
          <xdr:cNvPr id="10" name="1 Imagen" descr="ESCUDO-transp-lema-blanco.png">
            <a:extLst>
              <a:ext uri="{FF2B5EF4-FFF2-40B4-BE49-F238E27FC236}">
                <a16:creationId xmlns:a16="http://schemas.microsoft.com/office/drawing/2014/main" id="{650A4517-AABC-4CEA-8E21-D6E0325C077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52FABB8E-C365-4D2C-83B3-A549BBAC38F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548641</xdr:colOff>
      <xdr:row>145</xdr:row>
      <xdr:rowOff>15240</xdr:rowOff>
    </xdr:from>
    <xdr:to>
      <xdr:col>2</xdr:col>
      <xdr:colOff>2088014</xdr:colOff>
      <xdr:row>146</xdr:row>
      <xdr:rowOff>137186</xdr:rowOff>
    </xdr:to>
    <xdr:pic>
      <xdr:nvPicPr>
        <xdr:cNvPr id="6" name="Imagen 5">
          <a:extLst>
            <a:ext uri="{FF2B5EF4-FFF2-40B4-BE49-F238E27FC236}">
              <a16:creationId xmlns:a16="http://schemas.microsoft.com/office/drawing/2014/main" id="{75D27131-DDF0-484B-A0F8-EB829F19C0D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1" y="41982390"/>
          <a:ext cx="5848" cy="2560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8CD4B1E8-7D76-4DDE-BA10-695410B755C0}"/>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ADAF8646-D03A-4C55-A39B-2716064A48D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636A4C3A-327D-4277-B17E-D99DF57DE6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537443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472440</xdr:colOff>
      <xdr:row>84</xdr:row>
      <xdr:rowOff>15240</xdr:rowOff>
    </xdr:from>
    <xdr:to>
      <xdr:col>2</xdr:col>
      <xdr:colOff>2110882</xdr:colOff>
      <xdr:row>85</xdr:row>
      <xdr:rowOff>137186</xdr:rowOff>
    </xdr:to>
    <xdr:pic>
      <xdr:nvPicPr>
        <xdr:cNvPr id="7" name="Imagen 6">
          <a:extLst>
            <a:ext uri="{FF2B5EF4-FFF2-40B4-BE49-F238E27FC236}">
              <a16:creationId xmlns:a16="http://schemas.microsoft.com/office/drawing/2014/main" id="{38C22B4E-7108-4D06-8408-8BA192D1844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0" y="24094440"/>
          <a:ext cx="142"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FC25D768-2441-4B85-A886-92A187127BA6}"/>
            </a:ext>
          </a:extLst>
        </xdr:cNvPr>
        <xdr:cNvGrpSpPr>
          <a:grpSpLocks/>
        </xdr:cNvGrpSpPr>
      </xdr:nvGrpSpPr>
      <xdr:grpSpPr bwMode="auto">
        <a:xfrm>
          <a:off x="0" y="0"/>
          <a:ext cx="5374438" cy="1280725"/>
          <a:chOff x="57150" y="47625"/>
          <a:chExt cx="6316603" cy="1200288"/>
        </a:xfrm>
      </xdr:grpSpPr>
      <xdr:pic>
        <xdr:nvPicPr>
          <xdr:cNvPr id="10" name="1 Imagen" descr="ESCUDO-transp-lema-blanco.png">
            <a:extLst>
              <a:ext uri="{FF2B5EF4-FFF2-40B4-BE49-F238E27FC236}">
                <a16:creationId xmlns:a16="http://schemas.microsoft.com/office/drawing/2014/main" id="{150D02A3-5F02-46E4-88BC-DC3148EBD24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91BFC9CB-864D-4278-B53A-46AF625CC92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647701</xdr:colOff>
      <xdr:row>81</xdr:row>
      <xdr:rowOff>68580</xdr:rowOff>
    </xdr:from>
    <xdr:to>
      <xdr:col>2</xdr:col>
      <xdr:colOff>1905110</xdr:colOff>
      <xdr:row>83</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52791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647701</xdr:colOff>
      <xdr:row>81</xdr:row>
      <xdr:rowOff>68580</xdr:rowOff>
    </xdr:from>
    <xdr:to>
      <xdr:col>2</xdr:col>
      <xdr:colOff>1905110</xdr:colOff>
      <xdr:row>83</xdr:row>
      <xdr:rowOff>26</xdr:rowOff>
    </xdr:to>
    <xdr:pic>
      <xdr:nvPicPr>
        <xdr:cNvPr id="7" name="Imagen 6">
          <a:extLst>
            <a:ext uri="{FF2B5EF4-FFF2-40B4-BE49-F238E27FC236}">
              <a16:creationId xmlns:a16="http://schemas.microsoft.com/office/drawing/2014/main" id="{DC893854-467C-4EB6-98DD-77E7DE75F7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27081480"/>
          <a:ext cx="109" cy="2674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8" name="Imagen 7">
          <a:extLst>
            <a:ext uri="{FF2B5EF4-FFF2-40B4-BE49-F238E27FC236}">
              <a16:creationId xmlns:a16="http://schemas.microsoft.com/office/drawing/2014/main" id="{EEE6D427-2B5A-4427-8BA0-BAC4A3EDCE4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33400365"/>
          <a:ext cx="3901" cy="960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19CCC0A0-869A-443C-966D-40D7B11C9BFA}"/>
            </a:ext>
          </a:extLst>
        </xdr:cNvPr>
        <xdr:cNvGrpSpPr>
          <a:grpSpLocks/>
        </xdr:cNvGrpSpPr>
      </xdr:nvGrpSpPr>
      <xdr:grpSpPr bwMode="auto">
        <a:xfrm>
          <a:off x="0" y="0"/>
          <a:ext cx="5279188" cy="1280725"/>
          <a:chOff x="57150" y="47625"/>
          <a:chExt cx="6316603" cy="1200288"/>
        </a:xfrm>
      </xdr:grpSpPr>
      <xdr:pic>
        <xdr:nvPicPr>
          <xdr:cNvPr id="10" name="1 Imagen" descr="ESCUDO-transp-lema-blanco.png">
            <a:extLst>
              <a:ext uri="{FF2B5EF4-FFF2-40B4-BE49-F238E27FC236}">
                <a16:creationId xmlns:a16="http://schemas.microsoft.com/office/drawing/2014/main" id="{47CFFD05-20D9-411D-9D4E-1FA745456EE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4696488-2AA6-4D5F-A282-307CF022E97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990600</xdr:colOff>
      <xdr:row>0</xdr:row>
      <xdr:rowOff>1581150</xdr:rowOff>
    </xdr:to>
    <xdr:grpSp>
      <xdr:nvGrpSpPr>
        <xdr:cNvPr id="2" name="1 Grupo">
          <a:extLst>
            <a:ext uri="{FF2B5EF4-FFF2-40B4-BE49-F238E27FC236}">
              <a16:creationId xmlns:a16="http://schemas.microsoft.com/office/drawing/2014/main" id="{00000000-0008-0000-0100-000002000000}"/>
            </a:ext>
          </a:extLst>
        </xdr:cNvPr>
        <xdr:cNvGrpSpPr>
          <a:grpSpLocks/>
        </xdr:cNvGrpSpPr>
      </xdr:nvGrpSpPr>
      <xdr:grpSpPr bwMode="auto">
        <a:xfrm>
          <a:off x="0" y="0"/>
          <a:ext cx="10220325" cy="1581150"/>
          <a:chOff x="57150" y="47625"/>
          <a:chExt cx="6181725" cy="1581150"/>
        </a:xfrm>
      </xdr:grpSpPr>
      <xdr:pic>
        <xdr:nvPicPr>
          <xdr:cNvPr id="3" name="1 Imagen" descr="ESCUDO-transp-lema-blanco.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514583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762000</xdr:colOff>
      <xdr:row>90</xdr:row>
      <xdr:rowOff>106680</xdr:rowOff>
    </xdr:from>
    <xdr:to>
      <xdr:col>2</xdr:col>
      <xdr:colOff>1981306</xdr:colOff>
      <xdr:row>91</xdr:row>
      <xdr:rowOff>160040</xdr:rowOff>
    </xdr:to>
    <xdr:pic>
      <xdr:nvPicPr>
        <xdr:cNvPr id="7" name="Imagen 6">
          <a:extLst>
            <a:ext uri="{FF2B5EF4-FFF2-40B4-BE49-F238E27FC236}">
              <a16:creationId xmlns:a16="http://schemas.microsoft.com/office/drawing/2014/main" id="{49E2959C-C6A5-4A6E-82E6-2B817E9042B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30596205"/>
          <a:ext cx="106" cy="66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8" name="Imagen 7">
          <a:extLst>
            <a:ext uri="{FF2B5EF4-FFF2-40B4-BE49-F238E27FC236}">
              <a16:creationId xmlns:a16="http://schemas.microsoft.com/office/drawing/2014/main" id="{8C04231C-3D0E-4BFC-B725-6981F5F05D6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9196" y="33928050"/>
          <a:ext cx="2000" cy="781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87D8DC8-3010-445C-ABAC-AFA8C7B6C1BF}"/>
            </a:ext>
          </a:extLst>
        </xdr:cNvPr>
        <xdr:cNvGrpSpPr>
          <a:grpSpLocks/>
        </xdr:cNvGrpSpPr>
      </xdr:nvGrpSpPr>
      <xdr:grpSpPr bwMode="auto">
        <a:xfrm>
          <a:off x="0" y="0"/>
          <a:ext cx="5145838" cy="1280725"/>
          <a:chOff x="57150" y="47625"/>
          <a:chExt cx="6316603" cy="1200288"/>
        </a:xfrm>
      </xdr:grpSpPr>
      <xdr:pic>
        <xdr:nvPicPr>
          <xdr:cNvPr id="10" name="1 Imagen" descr="ESCUDO-transp-lema-blanco.png">
            <a:extLst>
              <a:ext uri="{FF2B5EF4-FFF2-40B4-BE49-F238E27FC236}">
                <a16:creationId xmlns:a16="http://schemas.microsoft.com/office/drawing/2014/main" id="{AB85F769-79AC-44E9-B298-2C111802A0E6}"/>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447CDF9-2BDA-478B-A699-2558E8E8376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52791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670561</xdr:colOff>
      <xdr:row>84</xdr:row>
      <xdr:rowOff>76200</xdr:rowOff>
    </xdr:from>
    <xdr:to>
      <xdr:col>2</xdr:col>
      <xdr:colOff>1790798</xdr:colOff>
      <xdr:row>85</xdr:row>
      <xdr:rowOff>129560</xdr:rowOff>
    </xdr:to>
    <xdr:pic>
      <xdr:nvPicPr>
        <xdr:cNvPr id="7" name="Imagen 6">
          <a:extLst>
            <a:ext uri="{FF2B5EF4-FFF2-40B4-BE49-F238E27FC236}">
              <a16:creationId xmlns:a16="http://schemas.microsoft.com/office/drawing/2014/main" id="{6479DD59-6AB6-45DC-BFB5-43635E80495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1" y="27784425"/>
          <a:ext cx="0" cy="112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8" name="Imagen 7">
          <a:extLst>
            <a:ext uri="{FF2B5EF4-FFF2-40B4-BE49-F238E27FC236}">
              <a16:creationId xmlns:a16="http://schemas.microsoft.com/office/drawing/2014/main" id="{22A9B5CB-78B3-4858-8F89-0E8A779FEB9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34671000"/>
          <a:ext cx="0" cy="960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B796C646-7089-485E-9988-02BE47C7A3EA}"/>
            </a:ext>
          </a:extLst>
        </xdr:cNvPr>
        <xdr:cNvGrpSpPr>
          <a:grpSpLocks/>
        </xdr:cNvGrpSpPr>
      </xdr:nvGrpSpPr>
      <xdr:grpSpPr bwMode="auto">
        <a:xfrm>
          <a:off x="0" y="0"/>
          <a:ext cx="5279188" cy="1280725"/>
          <a:chOff x="57150" y="47625"/>
          <a:chExt cx="6316603" cy="1200288"/>
        </a:xfrm>
      </xdr:grpSpPr>
      <xdr:pic>
        <xdr:nvPicPr>
          <xdr:cNvPr id="10" name="1 Imagen" descr="ESCUDO-transp-lema-blanco.png">
            <a:extLst>
              <a:ext uri="{FF2B5EF4-FFF2-40B4-BE49-F238E27FC236}">
                <a16:creationId xmlns:a16="http://schemas.microsoft.com/office/drawing/2014/main" id="{3B30CF9F-4AAD-4B68-B328-4DECF2385057}"/>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59D06BB9-94A8-4622-9790-2EE65967A89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571733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426720</xdr:colOff>
      <xdr:row>79</xdr:row>
      <xdr:rowOff>53340</xdr:rowOff>
    </xdr:from>
    <xdr:to>
      <xdr:col>2</xdr:col>
      <xdr:colOff>2156610</xdr:colOff>
      <xdr:row>80</xdr:row>
      <xdr:rowOff>175286</xdr:rowOff>
    </xdr:to>
    <xdr:pic>
      <xdr:nvPicPr>
        <xdr:cNvPr id="7" name="Imagen 6">
          <a:extLst>
            <a:ext uri="{FF2B5EF4-FFF2-40B4-BE49-F238E27FC236}">
              <a16:creationId xmlns:a16="http://schemas.microsoft.com/office/drawing/2014/main" id="{6F5AAC2A-E08B-4D7D-B36E-F1EF104DA1E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545" y="29942790"/>
          <a:ext cx="5865" cy="1188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8" name="Imagen 7">
          <a:extLst>
            <a:ext uri="{FF2B5EF4-FFF2-40B4-BE49-F238E27FC236}">
              <a16:creationId xmlns:a16="http://schemas.microsoft.com/office/drawing/2014/main" id="{CB743111-7EFE-43B2-BDD5-ECAAC7456C9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356" y="35956875"/>
          <a:ext cx="2000" cy="1550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DE60617-6871-44A2-B4E3-A54A0C429952}"/>
            </a:ext>
          </a:extLst>
        </xdr:cNvPr>
        <xdr:cNvGrpSpPr>
          <a:grpSpLocks/>
        </xdr:cNvGrpSpPr>
      </xdr:nvGrpSpPr>
      <xdr:grpSpPr bwMode="auto">
        <a:xfrm>
          <a:off x="0" y="0"/>
          <a:ext cx="5717338" cy="1280725"/>
          <a:chOff x="57150" y="47625"/>
          <a:chExt cx="6316603" cy="1200288"/>
        </a:xfrm>
      </xdr:grpSpPr>
      <xdr:pic>
        <xdr:nvPicPr>
          <xdr:cNvPr id="10" name="1 Imagen" descr="ESCUDO-transp-lema-blanco.png">
            <a:extLst>
              <a:ext uri="{FF2B5EF4-FFF2-40B4-BE49-F238E27FC236}">
                <a16:creationId xmlns:a16="http://schemas.microsoft.com/office/drawing/2014/main" id="{2A1A84BA-DC45-4DBB-88CD-D25E9146A3B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3874336C-B76A-48CB-A855-F2463D5EAC3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54696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518161</xdr:colOff>
      <xdr:row>85</xdr:row>
      <xdr:rowOff>449580</xdr:rowOff>
    </xdr:from>
    <xdr:to>
      <xdr:col>2</xdr:col>
      <xdr:colOff>2377602</xdr:colOff>
      <xdr:row>88</xdr:row>
      <xdr:rowOff>32</xdr:rowOff>
    </xdr:to>
    <xdr:pic>
      <xdr:nvPicPr>
        <xdr:cNvPr id="6" name="Imagen 5">
          <a:extLst>
            <a:ext uri="{FF2B5EF4-FFF2-40B4-BE49-F238E27FC236}">
              <a16:creationId xmlns:a16="http://schemas.microsoft.com/office/drawing/2014/main" id="{37004B7F-AF92-4000-9DC8-89745AB99EB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1" y="32748855"/>
          <a:ext cx="0" cy="760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97C5477-149E-48CD-BCAB-4E24BE99059B}"/>
            </a:ext>
          </a:extLst>
        </xdr:cNvPr>
        <xdr:cNvGrpSpPr>
          <a:grpSpLocks/>
        </xdr:cNvGrpSpPr>
      </xdr:nvGrpSpPr>
      <xdr:grpSpPr bwMode="auto">
        <a:xfrm>
          <a:off x="0" y="0"/>
          <a:ext cx="5469688" cy="1280725"/>
          <a:chOff x="57150" y="47625"/>
          <a:chExt cx="6316603" cy="1200288"/>
        </a:xfrm>
      </xdr:grpSpPr>
      <xdr:pic>
        <xdr:nvPicPr>
          <xdr:cNvPr id="8" name="1 Imagen" descr="ESCUDO-transp-lema-blanco.png">
            <a:extLst>
              <a:ext uri="{FF2B5EF4-FFF2-40B4-BE49-F238E27FC236}">
                <a16:creationId xmlns:a16="http://schemas.microsoft.com/office/drawing/2014/main" id="{2AE7D3E7-995E-41C3-9089-7825A264CB5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C81CB729-062B-4E79-91B9-AE51A544546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708893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136</xdr:row>
      <xdr:rowOff>144780</xdr:rowOff>
    </xdr:from>
    <xdr:to>
      <xdr:col>3</xdr:col>
      <xdr:colOff>1112808</xdr:colOff>
      <xdr:row>136</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149</xdr:row>
      <xdr:rowOff>7620</xdr:rowOff>
    </xdr:from>
    <xdr:to>
      <xdr:col>3</xdr:col>
      <xdr:colOff>1089896</xdr:colOff>
      <xdr:row>149</xdr:row>
      <xdr:rowOff>251481</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65960" y="53393340"/>
          <a:ext cx="2728196" cy="243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6126913"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55458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182880</xdr:colOff>
      <xdr:row>113</xdr:row>
      <xdr:rowOff>91440</xdr:rowOff>
    </xdr:from>
    <xdr:to>
      <xdr:col>3</xdr:col>
      <xdr:colOff>998498</xdr:colOff>
      <xdr:row>113</xdr:row>
      <xdr:rowOff>228612</xdr:rowOff>
    </xdr:to>
    <xdr:pic>
      <xdr:nvPicPr>
        <xdr:cNvPr id="7" name="Imagen 6">
          <a:extLst>
            <a:ext uri="{FF2B5EF4-FFF2-40B4-BE49-F238E27FC236}">
              <a16:creationId xmlns:a16="http://schemas.microsoft.com/office/drawing/2014/main" id="{79174ED2-C197-4D37-8FB9-FAB09B5D7AE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0605" y="41868090"/>
          <a:ext cx="1148993"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8" name="Imagen 7">
          <a:extLst>
            <a:ext uri="{FF2B5EF4-FFF2-40B4-BE49-F238E27FC236}">
              <a16:creationId xmlns:a16="http://schemas.microsoft.com/office/drawing/2014/main" id="{8E96A3DA-C720-410E-93DE-654A1A4690D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9196" y="49701450"/>
          <a:ext cx="92417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2B0047B5-39C1-4BFE-9F65-71C6E89A0680}"/>
            </a:ext>
          </a:extLst>
        </xdr:cNvPr>
        <xdr:cNvGrpSpPr>
          <a:grpSpLocks/>
        </xdr:cNvGrpSpPr>
      </xdr:nvGrpSpPr>
      <xdr:grpSpPr bwMode="auto">
        <a:xfrm>
          <a:off x="0" y="0"/>
          <a:ext cx="5545888" cy="1280725"/>
          <a:chOff x="57150" y="47625"/>
          <a:chExt cx="6316603" cy="1200288"/>
        </a:xfrm>
      </xdr:grpSpPr>
      <xdr:pic>
        <xdr:nvPicPr>
          <xdr:cNvPr id="10" name="1 Imagen" descr="ESCUDO-transp-lema-blanco.png">
            <a:extLst>
              <a:ext uri="{FF2B5EF4-FFF2-40B4-BE49-F238E27FC236}">
                <a16:creationId xmlns:a16="http://schemas.microsoft.com/office/drawing/2014/main" id="{8A3B3A39-DBFD-4ABF-A59C-724771ADED7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F25FAD7B-F360-4710-BCF6-F540888982A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6" name="Imagen 5">
          <a:extLst>
            <a:ext uri="{FF2B5EF4-FFF2-40B4-BE49-F238E27FC236}">
              <a16:creationId xmlns:a16="http://schemas.microsoft.com/office/drawing/2014/main" id="{C663BEA0-C338-4265-A346-421F0C18C08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38867715"/>
          <a:ext cx="0" cy="207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E310E928-6FD9-4126-87F3-CBA0C646247E}"/>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D646F551-4999-4873-B875-20F5E76503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4A7DBF13-853F-468A-A297-E693069E86A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548640</xdr:colOff>
      <xdr:row>162</xdr:row>
      <xdr:rowOff>15240</xdr:rowOff>
    </xdr:from>
    <xdr:to>
      <xdr:col>2</xdr:col>
      <xdr:colOff>2232806</xdr:colOff>
      <xdr:row>164</xdr:row>
      <xdr:rowOff>22892</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52791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548640</xdr:colOff>
      <xdr:row>162</xdr:row>
      <xdr:rowOff>15240</xdr:rowOff>
    </xdr:from>
    <xdr:to>
      <xdr:col>2</xdr:col>
      <xdr:colOff>2232806</xdr:colOff>
      <xdr:row>164</xdr:row>
      <xdr:rowOff>22892</xdr:rowOff>
    </xdr:to>
    <xdr:pic>
      <xdr:nvPicPr>
        <xdr:cNvPr id="7" name="Imagen 6">
          <a:extLst>
            <a:ext uri="{FF2B5EF4-FFF2-40B4-BE49-F238E27FC236}">
              <a16:creationId xmlns:a16="http://schemas.microsoft.com/office/drawing/2014/main" id="{80DFE7A9-EB17-40E4-A2DA-D980C315C19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0" y="47011590"/>
          <a:ext cx="7766" cy="808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8" name="Imagen 7">
          <a:extLst>
            <a:ext uri="{FF2B5EF4-FFF2-40B4-BE49-F238E27FC236}">
              <a16:creationId xmlns:a16="http://schemas.microsoft.com/office/drawing/2014/main" id="{C5895435-0B34-421A-A3DB-BA77417C88E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8108215"/>
          <a:ext cx="2023" cy="58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8C125D5B-4B05-47D9-B610-D2DAEDAF962B}"/>
            </a:ext>
          </a:extLst>
        </xdr:cNvPr>
        <xdr:cNvGrpSpPr>
          <a:grpSpLocks/>
        </xdr:cNvGrpSpPr>
      </xdr:nvGrpSpPr>
      <xdr:grpSpPr bwMode="auto">
        <a:xfrm>
          <a:off x="0" y="0"/>
          <a:ext cx="5279188" cy="1280725"/>
          <a:chOff x="57150" y="47625"/>
          <a:chExt cx="6316603" cy="1200288"/>
        </a:xfrm>
      </xdr:grpSpPr>
      <xdr:pic>
        <xdr:nvPicPr>
          <xdr:cNvPr id="10" name="1 Imagen" descr="ESCUDO-transp-lema-blanco.png">
            <a:extLst>
              <a:ext uri="{FF2B5EF4-FFF2-40B4-BE49-F238E27FC236}">
                <a16:creationId xmlns:a16="http://schemas.microsoft.com/office/drawing/2014/main" id="{3A3440A5-2134-4542-A8D0-AE83A2F6A9F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5291AA3-FC59-4753-B373-A8529B64BDA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00000000-0008-0000-0300-000003000000}"/>
            </a:ext>
          </a:extLst>
        </xdr:cNvPr>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52791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6" name="Imagen 5">
          <a:extLst>
            <a:ext uri="{FF2B5EF4-FFF2-40B4-BE49-F238E27FC236}">
              <a16:creationId xmlns:a16="http://schemas.microsoft.com/office/drawing/2014/main" id="{AC7681B0-B770-4125-B95B-32170495911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18404205"/>
          <a:ext cx="129" cy="570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A36AF289-94CB-4642-AD18-EBEBD0591BC6}"/>
            </a:ext>
          </a:extLst>
        </xdr:cNvPr>
        <xdr:cNvGrpSpPr>
          <a:grpSpLocks/>
        </xdr:cNvGrpSpPr>
      </xdr:nvGrpSpPr>
      <xdr:grpSpPr bwMode="auto">
        <a:xfrm>
          <a:off x="0" y="0"/>
          <a:ext cx="5279188" cy="1280725"/>
          <a:chOff x="57150" y="47625"/>
          <a:chExt cx="6316603" cy="1200288"/>
        </a:xfrm>
      </xdr:grpSpPr>
      <xdr:pic>
        <xdr:nvPicPr>
          <xdr:cNvPr id="8" name="1 Imagen" descr="ESCUDO-transp-lema-blanco.png">
            <a:extLst>
              <a:ext uri="{FF2B5EF4-FFF2-40B4-BE49-F238E27FC236}">
                <a16:creationId xmlns:a16="http://schemas.microsoft.com/office/drawing/2014/main" id="{633B4C71-5530-4088-A978-BEF4F25CAD4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97668A4D-E1DE-49B3-A7BC-D08A3E6BB56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5383963"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609600</xdr:colOff>
      <xdr:row>80</xdr:row>
      <xdr:rowOff>91440</xdr:rowOff>
    </xdr:from>
    <xdr:to>
      <xdr:col>2</xdr:col>
      <xdr:colOff>2088008</xdr:colOff>
      <xdr:row>81</xdr:row>
      <xdr:rowOff>175283</xdr:rowOff>
    </xdr:to>
    <xdr:pic>
      <xdr:nvPicPr>
        <xdr:cNvPr id="6" name="Imagen 5">
          <a:extLst>
            <a:ext uri="{FF2B5EF4-FFF2-40B4-BE49-F238E27FC236}">
              <a16:creationId xmlns:a16="http://schemas.microsoft.com/office/drawing/2014/main" id="{A71949D6-8719-463C-99A7-1896E5ABFE8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4383940"/>
          <a:ext cx="2033" cy="130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620151F3-CD62-4280-AD9B-F00C73B06E4B}"/>
            </a:ext>
          </a:extLst>
        </xdr:cNvPr>
        <xdr:cNvGrpSpPr>
          <a:grpSpLocks/>
        </xdr:cNvGrpSpPr>
      </xdr:nvGrpSpPr>
      <xdr:grpSpPr bwMode="auto">
        <a:xfrm>
          <a:off x="0" y="0"/>
          <a:ext cx="5383963" cy="1280725"/>
          <a:chOff x="57150" y="47625"/>
          <a:chExt cx="6316603" cy="1200288"/>
        </a:xfrm>
      </xdr:grpSpPr>
      <xdr:pic>
        <xdr:nvPicPr>
          <xdr:cNvPr id="8" name="1 Imagen" descr="ESCUDO-transp-lema-blanco.png">
            <a:extLst>
              <a:ext uri="{FF2B5EF4-FFF2-40B4-BE49-F238E27FC236}">
                <a16:creationId xmlns:a16="http://schemas.microsoft.com/office/drawing/2014/main" id="{B13191EB-81B5-4950-BCDA-7DEB2942CD9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6296D53-5F26-46E7-B718-8F1D3515D31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55458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137161</xdr:colOff>
      <xdr:row>121</xdr:row>
      <xdr:rowOff>7620</xdr:rowOff>
    </xdr:from>
    <xdr:to>
      <xdr:col>2</xdr:col>
      <xdr:colOff>2222936</xdr:colOff>
      <xdr:row>121</xdr:row>
      <xdr:rowOff>103640</xdr:rowOff>
    </xdr:to>
    <xdr:pic>
      <xdr:nvPicPr>
        <xdr:cNvPr id="6" name="Imagen 5">
          <a:extLst>
            <a:ext uri="{FF2B5EF4-FFF2-40B4-BE49-F238E27FC236}">
              <a16:creationId xmlns:a16="http://schemas.microsoft.com/office/drawing/2014/main" id="{9F6EDC4E-25B5-4F55-8577-0BC2AF56E47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5836" y="34269045"/>
          <a:ext cx="19982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EA51A665-B2E3-44CE-BD4D-903D751C2290}"/>
            </a:ext>
          </a:extLst>
        </xdr:cNvPr>
        <xdr:cNvGrpSpPr>
          <a:grpSpLocks/>
        </xdr:cNvGrpSpPr>
      </xdr:nvGrpSpPr>
      <xdr:grpSpPr bwMode="auto">
        <a:xfrm>
          <a:off x="0" y="0"/>
          <a:ext cx="5545888" cy="1280725"/>
          <a:chOff x="57150" y="47625"/>
          <a:chExt cx="6316603" cy="1200288"/>
        </a:xfrm>
      </xdr:grpSpPr>
      <xdr:pic>
        <xdr:nvPicPr>
          <xdr:cNvPr id="8" name="1 Imagen" descr="ESCUDO-transp-lema-blanco.png">
            <a:extLst>
              <a:ext uri="{FF2B5EF4-FFF2-40B4-BE49-F238E27FC236}">
                <a16:creationId xmlns:a16="http://schemas.microsoft.com/office/drawing/2014/main" id="{44936450-F053-4549-B34D-6574BE72EBC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846F576D-9737-4869-80F9-75C84BB7EE8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5288713" cy="1280725"/>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5288713"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160021</xdr:colOff>
      <xdr:row>101</xdr:row>
      <xdr:rowOff>45720</xdr:rowOff>
    </xdr:from>
    <xdr:to>
      <xdr:col>2</xdr:col>
      <xdr:colOff>2021748</xdr:colOff>
      <xdr:row>101</xdr:row>
      <xdr:rowOff>141740</xdr:rowOff>
    </xdr:to>
    <xdr:pic>
      <xdr:nvPicPr>
        <xdr:cNvPr id="7" name="Imagen 6">
          <a:extLst>
            <a:ext uri="{FF2B5EF4-FFF2-40B4-BE49-F238E27FC236}">
              <a16:creationId xmlns:a16="http://schemas.microsoft.com/office/drawing/2014/main" id="{2B8E163C-35DB-4829-AE06-9DA2A5A2836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6796" y="38717220"/>
          <a:ext cx="175802"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114</xdr:row>
      <xdr:rowOff>60960</xdr:rowOff>
    </xdr:from>
    <xdr:to>
      <xdr:col>3</xdr:col>
      <xdr:colOff>777466</xdr:colOff>
      <xdr:row>115</xdr:row>
      <xdr:rowOff>175286</xdr:rowOff>
    </xdr:to>
    <xdr:pic>
      <xdr:nvPicPr>
        <xdr:cNvPr id="8" name="Imagen 7">
          <a:extLst>
            <a:ext uri="{FF2B5EF4-FFF2-40B4-BE49-F238E27FC236}">
              <a16:creationId xmlns:a16="http://schemas.microsoft.com/office/drawing/2014/main" id="{08B87102-5BEB-42B3-BA8E-B58A975A834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2055" y="43694985"/>
          <a:ext cx="775561"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4F7011C-7FF8-4028-BF49-C516E21F794A}"/>
            </a:ext>
          </a:extLst>
        </xdr:cNvPr>
        <xdr:cNvGrpSpPr>
          <a:grpSpLocks/>
        </xdr:cNvGrpSpPr>
      </xdr:nvGrpSpPr>
      <xdr:grpSpPr bwMode="auto">
        <a:xfrm>
          <a:off x="0" y="0"/>
          <a:ext cx="5288713" cy="1280725"/>
          <a:chOff x="57150" y="47625"/>
          <a:chExt cx="6316603" cy="1200288"/>
        </a:xfrm>
      </xdr:grpSpPr>
      <xdr:pic>
        <xdr:nvPicPr>
          <xdr:cNvPr id="10" name="1 Imagen" descr="ESCUDO-transp-lema-blanco.png">
            <a:extLst>
              <a:ext uri="{FF2B5EF4-FFF2-40B4-BE49-F238E27FC236}">
                <a16:creationId xmlns:a16="http://schemas.microsoft.com/office/drawing/2014/main" id="{7A6AB9FB-8F3C-43DD-B625-AE7AB583042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417E40DD-A087-4EC2-AD0C-FF19B3253D5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6" name="1 Imagen" descr="ESCUDO-transp-lema-blanco.pn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7" name="5 CuadroTexto">
          <a:extLst>
            <a:ext uri="{FF2B5EF4-FFF2-40B4-BE49-F238E27FC236}">
              <a16:creationId xmlns:a16="http://schemas.microsoft.com/office/drawing/2014/main" id="{00000000-0008-0000-0400-000007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8" name="1 Imagen" descr="ESCUDO-transp-lema-blanco.png">
          <a:extLst>
            <a:ext uri="{FF2B5EF4-FFF2-40B4-BE49-F238E27FC236}">
              <a16:creationId xmlns:a16="http://schemas.microsoft.com/office/drawing/2014/main" id="{DFB85EF5-F052-492E-AF37-6B828D9FE488}"/>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9" name="5 CuadroTexto">
          <a:extLst>
            <a:ext uri="{FF2B5EF4-FFF2-40B4-BE49-F238E27FC236}">
              <a16:creationId xmlns:a16="http://schemas.microsoft.com/office/drawing/2014/main" id="{C2A5148D-9FC0-45A5-8816-95A9C792875B}"/>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10" name="1 Imagen" descr="ESCUDO-transp-lema-blanco.png">
          <a:extLst>
            <a:ext uri="{FF2B5EF4-FFF2-40B4-BE49-F238E27FC236}">
              <a16:creationId xmlns:a16="http://schemas.microsoft.com/office/drawing/2014/main" id="{B3C4FAFA-1D48-453B-9E14-8E74E05C0A91}"/>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11" name="5 CuadroTexto">
          <a:extLst>
            <a:ext uri="{FF2B5EF4-FFF2-40B4-BE49-F238E27FC236}">
              <a16:creationId xmlns:a16="http://schemas.microsoft.com/office/drawing/2014/main" id="{D4043FF3-20F4-4766-A519-A40FF462C402}"/>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700-000003000000}"/>
            </a:ext>
          </a:extLst>
        </xdr:cNvPr>
        <xdr:cNvSpPr txBox="1"/>
      </xdr:nvSpPr>
      <xdr:spPr bwMode="auto">
        <a:xfrm>
          <a:off x="1266825" y="428625"/>
          <a:ext cx="56959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800-000002000000}"/>
            </a:ext>
          </a:extLst>
        </xdr:cNvPr>
        <xdr:cNvGrpSpPr>
          <a:grpSpLocks/>
        </xdr:cNvGrpSpPr>
      </xdr:nvGrpSpPr>
      <xdr:grpSpPr bwMode="auto">
        <a:xfrm>
          <a:off x="0" y="0"/>
          <a:ext cx="6705600" cy="1657350"/>
          <a:chOff x="57150" y="47625"/>
          <a:chExt cx="6181725" cy="1581150"/>
        </a:xfrm>
      </xdr:grpSpPr>
      <xdr:pic>
        <xdr:nvPicPr>
          <xdr:cNvPr id="3" name="1 Imagen" descr="ESCUDO-transp-lema-blanco.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167</xdr:row>
      <xdr:rowOff>167640</xdr:rowOff>
    </xdr:from>
    <xdr:to>
      <xdr:col>5</xdr:col>
      <xdr:colOff>84107</xdr:colOff>
      <xdr:row>168</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202</xdr:row>
      <xdr:rowOff>38100</xdr:rowOff>
    </xdr:from>
    <xdr:to>
      <xdr:col>3</xdr:col>
      <xdr:colOff>1257378</xdr:colOff>
      <xdr:row>203</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210</xdr:row>
      <xdr:rowOff>38100</xdr:rowOff>
    </xdr:from>
    <xdr:to>
      <xdr:col>3</xdr:col>
      <xdr:colOff>1691776</xdr:colOff>
      <xdr:row>210</xdr:row>
      <xdr:rowOff>335306</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102</xdr:row>
      <xdr:rowOff>53340</xdr:rowOff>
    </xdr:from>
    <xdr:to>
      <xdr:col>5</xdr:col>
      <xdr:colOff>312708</xdr:colOff>
      <xdr:row>102</xdr:row>
      <xdr:rowOff>190512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5907838" cy="1261675"/>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twoCellAnchor>
    <xdr:from>
      <xdr:col>3</xdr:col>
      <xdr:colOff>0</xdr:colOff>
      <xdr:row>167</xdr:row>
      <xdr:rowOff>167640</xdr:rowOff>
    </xdr:from>
    <xdr:to>
      <xdr:col>5</xdr:col>
      <xdr:colOff>84107</xdr:colOff>
      <xdr:row>168</xdr:row>
      <xdr:rowOff>121932</xdr:rowOff>
    </xdr:to>
    <xdr:pic>
      <xdr:nvPicPr>
        <xdr:cNvPr id="9" name="Imagen 8">
          <a:extLst>
            <a:ext uri="{FF2B5EF4-FFF2-40B4-BE49-F238E27FC236}">
              <a16:creationId xmlns:a16="http://schemas.microsoft.com/office/drawing/2014/main" id="{AE8D9234-FB11-480C-88D2-38BC776A1F3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0782240"/>
          <a:ext cx="3217832" cy="144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202</xdr:row>
      <xdr:rowOff>38100</xdr:rowOff>
    </xdr:from>
    <xdr:to>
      <xdr:col>3</xdr:col>
      <xdr:colOff>1257378</xdr:colOff>
      <xdr:row>203</xdr:row>
      <xdr:rowOff>68598</xdr:rowOff>
    </xdr:to>
    <xdr:pic>
      <xdr:nvPicPr>
        <xdr:cNvPr id="10" name="Imagen 9">
          <a:extLst>
            <a:ext uri="{FF2B5EF4-FFF2-40B4-BE49-F238E27FC236}">
              <a16:creationId xmlns:a16="http://schemas.microsoft.com/office/drawing/2014/main" id="{B6368EBF-6E8B-4A5C-B89A-6A44A5CD94B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7831" y="47939325"/>
          <a:ext cx="883997" cy="22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210</xdr:row>
      <xdr:rowOff>38100</xdr:rowOff>
    </xdr:from>
    <xdr:to>
      <xdr:col>3</xdr:col>
      <xdr:colOff>1691776</xdr:colOff>
      <xdr:row>210</xdr:row>
      <xdr:rowOff>335306</xdr:rowOff>
    </xdr:to>
    <xdr:pic>
      <xdr:nvPicPr>
        <xdr:cNvPr id="11" name="Imagen 10">
          <a:extLst>
            <a:ext uri="{FF2B5EF4-FFF2-40B4-BE49-F238E27FC236}">
              <a16:creationId xmlns:a16="http://schemas.microsoft.com/office/drawing/2014/main" id="{B2038053-C915-4E07-BB11-7A0232EC9232}"/>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51611" y="49463325"/>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102</xdr:row>
      <xdr:rowOff>53340</xdr:rowOff>
    </xdr:from>
    <xdr:to>
      <xdr:col>5</xdr:col>
      <xdr:colOff>312708</xdr:colOff>
      <xdr:row>102</xdr:row>
      <xdr:rowOff>190512</xdr:rowOff>
    </xdr:to>
    <xdr:pic>
      <xdr:nvPicPr>
        <xdr:cNvPr id="12" name="Imagen 11">
          <a:extLst>
            <a:ext uri="{FF2B5EF4-FFF2-40B4-BE49-F238E27FC236}">
              <a16:creationId xmlns:a16="http://schemas.microsoft.com/office/drawing/2014/main" id="{D67AAFFF-C17A-4E90-8B98-AB4F6359E55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051" y="25418415"/>
          <a:ext cx="3217832" cy="118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13" name="1 Grupo">
          <a:extLst>
            <a:ext uri="{FF2B5EF4-FFF2-40B4-BE49-F238E27FC236}">
              <a16:creationId xmlns:a16="http://schemas.microsoft.com/office/drawing/2014/main" id="{2F3DB84C-E4D8-48D4-A962-7E183A56B0D6}"/>
            </a:ext>
          </a:extLst>
        </xdr:cNvPr>
        <xdr:cNvGrpSpPr>
          <a:grpSpLocks/>
        </xdr:cNvGrpSpPr>
      </xdr:nvGrpSpPr>
      <xdr:grpSpPr bwMode="auto">
        <a:xfrm>
          <a:off x="0" y="0"/>
          <a:ext cx="5907838" cy="1261675"/>
          <a:chOff x="57150" y="47625"/>
          <a:chExt cx="6316603" cy="1200288"/>
        </a:xfrm>
      </xdr:grpSpPr>
      <xdr:pic>
        <xdr:nvPicPr>
          <xdr:cNvPr id="14" name="1 Imagen" descr="ESCUDO-transp-lema-blanco.png">
            <a:extLst>
              <a:ext uri="{FF2B5EF4-FFF2-40B4-BE49-F238E27FC236}">
                <a16:creationId xmlns:a16="http://schemas.microsoft.com/office/drawing/2014/main" id="{CF4CFA8F-1E39-4276-BA58-F857BD60F6E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9F0BB642-E811-4C81-9543-298BE5BE752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35538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3</xdr:col>
      <xdr:colOff>601981</xdr:colOff>
      <xdr:row>69</xdr:row>
      <xdr:rowOff>0</xdr:rowOff>
    </xdr:from>
    <xdr:to>
      <xdr:col>3</xdr:col>
      <xdr:colOff>2065148</xdr:colOff>
      <xdr:row>70</xdr:row>
      <xdr:rowOff>83843</xdr:rowOff>
    </xdr:to>
    <xdr:pic>
      <xdr:nvPicPr>
        <xdr:cNvPr id="6" name="Imagen 5">
          <a:extLst>
            <a:ext uri="{FF2B5EF4-FFF2-40B4-BE49-F238E27FC236}">
              <a16:creationId xmlns:a16="http://schemas.microsoft.com/office/drawing/2014/main" id="{2B171E5B-1326-4085-8FC2-71B580E8F7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2631" y="19183350"/>
          <a:ext cx="1463167"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504B68FC-0F1E-4AAC-87AC-A0936FEE7240}"/>
            </a:ext>
          </a:extLst>
        </xdr:cNvPr>
        <xdr:cNvGrpSpPr>
          <a:grpSpLocks/>
        </xdr:cNvGrpSpPr>
      </xdr:nvGrpSpPr>
      <xdr:grpSpPr bwMode="auto">
        <a:xfrm>
          <a:off x="0" y="0"/>
          <a:ext cx="5355388" cy="1280725"/>
          <a:chOff x="57150" y="47625"/>
          <a:chExt cx="6316603" cy="1200288"/>
        </a:xfrm>
      </xdr:grpSpPr>
      <xdr:pic>
        <xdr:nvPicPr>
          <xdr:cNvPr id="8" name="1 Imagen" descr="ESCUDO-transp-lema-blanco.png">
            <a:extLst>
              <a:ext uri="{FF2B5EF4-FFF2-40B4-BE49-F238E27FC236}">
                <a16:creationId xmlns:a16="http://schemas.microsoft.com/office/drawing/2014/main" id="{23AE0315-958C-4908-9BF8-480F907B38D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25A014EF-8CB2-4079-A07A-7C339E94401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INDICADORES%20M&#205;NIMOS%20A%20DIC.31-2020%20MINAMBIENTE%20FEB.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moreno/Downloads/FORMATO%20SINA%20-PAI%202020-2023%20A%20DICIEMBRE%2031%20-%202020%20F&#205;SICO%20Y%20FINANCI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C5" t="str">
            <v>Corporación Autónoma Regional del Atlántico – CRA</v>
          </cell>
        </row>
        <row r="6">
          <cell r="C6" t="str">
            <v>2020-II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5">
          <cell r="D5" t="str">
            <v>ERROR: LA SUMA DE LA COLUMNA DEBE SER 100%</v>
          </cell>
          <cell r="E5" t="str">
            <v>N.A.</v>
          </cell>
          <cell r="F5" t="str">
            <v>N.A.</v>
          </cell>
          <cell r="G5" t="str">
            <v>N.A.</v>
          </cell>
          <cell r="H5" t="str">
            <v>N.A.</v>
          </cell>
        </row>
        <row r="15">
          <cell r="D15">
            <v>0</v>
          </cell>
          <cell r="E15">
            <v>0</v>
          </cell>
          <cell r="F15">
            <v>0</v>
          </cell>
          <cell r="G15">
            <v>0</v>
          </cell>
          <cell r="I15">
            <v>0</v>
          </cell>
        </row>
        <row r="20">
          <cell r="D20" t="str">
            <v>ERROR: LA SUMA DE LA COLUMNA DEBE SER 100%</v>
          </cell>
          <cell r="E20">
            <v>0</v>
          </cell>
        </row>
        <row r="24">
          <cell r="D24" t="str">
            <v>ERROR: LA SUMA DE LA COLUMNA DEBE SER 100%</v>
          </cell>
          <cell r="F24" t="e">
            <v>#DIV/0!</v>
          </cell>
        </row>
        <row r="26">
          <cell r="D26" t="str">
            <v>ERROR: LA SUMA DE LA COLUMNA DEBE SER 100%</v>
          </cell>
        </row>
        <row r="31">
          <cell r="D31" t="str">
            <v>ERROR: LA SUMA DE LA COLUMNA DEBE SER 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C5" t="str">
            <v>Corporación Autónoma Regional del Atlántico – CRA</v>
          </cell>
        </row>
        <row r="6">
          <cell r="C6" t="str">
            <v>2020-I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9">
          <cell r="D29" t="str">
            <v>ERROR: LA SUMA DE LAS PONDERACIONES DEBE SER 100%</v>
          </cell>
          <cell r="E29" t="e">
            <v>#DIV/0!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scaf@crautonoma.gov.co"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mailto:gescaf@crautonoma.gov.c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gescaf@crautonoma.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mailto:jrestrepo@crautonoma.gov.c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gescaf@crautonoma.gov.c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mailto:jrestrepo@crautonoma.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mailto:gescaf@crautonoma.gov.co"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escaf@crautonoma.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gescaf@crautonoma.gov.co"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mailto:jrestrepo@crautonoma.gov.co"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gescaf@crautonoma.gov.co"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jrestrepo@crautonoma.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jrestrepo@crautonoma.gov.co"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mailto:jrestrepo@crautonoma.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gescaf@crautonoma.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gescaf@crautonoma.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jrestrepo@crautonoma.gov.co"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mailto:jrestrepo@crautonoma.gov.co"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mailto:jrestrepo@crautonoma.gov.c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jrestrepo@crautonoma.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mailto:jrestrepo@crautonoma.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jrestrepo@crautonoma.gov.co"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mailto:jrestrepo@crautonoma.gov.co"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0.bin"/><Relationship Id="rId1" Type="http://schemas.openxmlformats.org/officeDocument/2006/relationships/hyperlink" Target="mailto:gescaf@crautonoma.gov.c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mailto:jrestrepo@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2.xml"/><Relationship Id="rId4"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hyperlink" Target="mailto:jrestrepo@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3.xml"/><Relationship Id="rId4"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3.bin"/><Relationship Id="rId1" Type="http://schemas.openxmlformats.org/officeDocument/2006/relationships/hyperlink" Target="mailto:gescaf@crautonoma.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5"/>
  <sheetViews>
    <sheetView topLeftCell="B1" workbookViewId="0">
      <selection activeCell="C6" sqref="C6"/>
    </sheetView>
  </sheetViews>
  <sheetFormatPr defaultColWidth="10.7109375" defaultRowHeight="15"/>
  <cols>
    <col min="1" max="1" width="5.85546875" customWidth="1"/>
    <col min="2" max="2" width="44.28515625" customWidth="1"/>
    <col min="3" max="3" width="68.5703125" customWidth="1"/>
    <col min="8" max="8" width="11.42578125" hidden="1" customWidth="1"/>
  </cols>
  <sheetData>
    <row r="1" spans="1:18" s="333" customFormat="1" ht="130.5" customHeight="1" thickBot="1">
      <c r="A1" s="374"/>
      <c r="B1" s="375"/>
      <c r="C1" s="376"/>
      <c r="D1" s="241"/>
      <c r="E1" s="241"/>
      <c r="F1" s="241"/>
      <c r="G1" s="241"/>
      <c r="H1" s="241"/>
      <c r="I1" s="241"/>
      <c r="J1" s="241"/>
      <c r="K1" s="241"/>
      <c r="L1" s="241"/>
      <c r="M1" s="241"/>
      <c r="N1" s="241"/>
      <c r="O1" s="241"/>
      <c r="P1" s="241"/>
      <c r="Q1" s="241"/>
      <c r="R1" s="241"/>
    </row>
    <row r="2" spans="1:18" s="334" customFormat="1" ht="39.75" customHeight="1" thickBot="1">
      <c r="A2" s="916" t="s">
        <v>0</v>
      </c>
      <c r="B2" s="917"/>
      <c r="C2" s="918"/>
      <c r="D2" s="241"/>
      <c r="E2" s="241"/>
      <c r="F2" s="241"/>
      <c r="G2" s="241"/>
      <c r="H2" s="241"/>
      <c r="I2" s="241"/>
      <c r="J2" s="241"/>
      <c r="K2" s="241"/>
      <c r="L2" s="241"/>
      <c r="M2" s="241"/>
      <c r="N2" s="241"/>
      <c r="O2" s="241"/>
      <c r="P2" s="241"/>
      <c r="Q2" s="241"/>
      <c r="R2" s="241"/>
    </row>
    <row r="4" spans="1:18" ht="15.75" thickBot="1">
      <c r="A4" s="241"/>
      <c r="B4" s="241"/>
      <c r="C4" s="241"/>
      <c r="D4" s="241"/>
      <c r="E4" s="241"/>
      <c r="F4" s="241"/>
      <c r="G4" s="241"/>
      <c r="H4" s="241"/>
      <c r="I4" s="241"/>
      <c r="J4" s="241"/>
      <c r="K4" s="241"/>
      <c r="L4" s="241"/>
      <c r="M4" s="241"/>
      <c r="N4" s="241"/>
      <c r="O4" s="241"/>
      <c r="P4" s="241"/>
      <c r="Q4" s="241"/>
      <c r="R4" s="241"/>
    </row>
    <row r="5" spans="1:18" s="362" customFormat="1" ht="23.25" customHeight="1">
      <c r="B5" s="363" t="s">
        <v>1</v>
      </c>
      <c r="C5" s="364" t="s">
        <v>2</v>
      </c>
      <c r="H5" s="362" t="s">
        <v>3</v>
      </c>
    </row>
    <row r="6" spans="1:18" s="362" customFormat="1" ht="23.25" customHeight="1">
      <c r="B6" s="365" t="s">
        <v>4</v>
      </c>
      <c r="C6" s="366" t="s">
        <v>5</v>
      </c>
      <c r="H6" s="362" t="s">
        <v>6</v>
      </c>
    </row>
    <row r="7" spans="1:18" s="362" customFormat="1" ht="23.25" customHeight="1">
      <c r="B7" s="365" t="s">
        <v>7</v>
      </c>
      <c r="C7" s="366" t="s">
        <v>8</v>
      </c>
      <c r="H7" s="362" t="s">
        <v>9</v>
      </c>
    </row>
    <row r="8" spans="1:18" s="362" customFormat="1" ht="23.25" customHeight="1">
      <c r="B8" s="365" t="s">
        <v>10</v>
      </c>
      <c r="C8" s="366" t="s">
        <v>11</v>
      </c>
      <c r="H8" s="362" t="s">
        <v>12</v>
      </c>
    </row>
    <row r="9" spans="1:18" s="362" customFormat="1" ht="23.25" customHeight="1">
      <c r="B9" s="365" t="s">
        <v>13</v>
      </c>
      <c r="C9" s="366" t="s">
        <v>14</v>
      </c>
      <c r="H9" s="362" t="s">
        <v>15</v>
      </c>
    </row>
    <row r="10" spans="1:18" s="362" customFormat="1" ht="23.25" customHeight="1">
      <c r="B10" s="365" t="s">
        <v>16</v>
      </c>
      <c r="C10" s="478" t="s">
        <v>17</v>
      </c>
      <c r="H10" s="362" t="s">
        <v>18</v>
      </c>
    </row>
    <row r="11" spans="1:18" s="362" customFormat="1" ht="23.25" customHeight="1" thickBot="1">
      <c r="B11" s="367" t="s">
        <v>19</v>
      </c>
      <c r="C11" s="368" t="s">
        <v>20</v>
      </c>
      <c r="H11" s="362" t="s">
        <v>21</v>
      </c>
    </row>
    <row r="12" spans="1:18">
      <c r="A12" s="241"/>
      <c r="B12" s="241"/>
      <c r="C12" s="241"/>
      <c r="D12" s="241"/>
      <c r="E12" s="241"/>
      <c r="F12" s="241"/>
      <c r="G12" s="241"/>
      <c r="H12" s="241" t="s">
        <v>22</v>
      </c>
      <c r="I12" s="241"/>
      <c r="J12" s="241"/>
      <c r="K12" s="241"/>
      <c r="L12" s="241"/>
      <c r="M12" s="241"/>
      <c r="N12" s="241"/>
      <c r="O12" s="241"/>
      <c r="P12" s="241"/>
      <c r="Q12" s="241"/>
      <c r="R12" s="241"/>
    </row>
    <row r="13" spans="1:18">
      <c r="A13" s="241"/>
      <c r="B13" s="241"/>
      <c r="C13" s="241"/>
      <c r="D13" s="241"/>
      <c r="E13" s="241"/>
      <c r="F13" s="241"/>
      <c r="G13" s="241"/>
      <c r="H13" s="241" t="s">
        <v>23</v>
      </c>
      <c r="I13" s="241"/>
      <c r="J13" s="241"/>
      <c r="K13" s="241"/>
      <c r="L13" s="241"/>
      <c r="M13" s="241"/>
      <c r="N13" s="241"/>
      <c r="O13" s="241"/>
      <c r="P13" s="241"/>
      <c r="Q13" s="241"/>
      <c r="R13" s="241"/>
    </row>
    <row r="14" spans="1:18">
      <c r="A14" s="241"/>
      <c r="B14" s="241"/>
      <c r="C14" s="241"/>
      <c r="D14" s="241"/>
      <c r="E14" s="241"/>
      <c r="F14" s="241"/>
      <c r="G14" s="241"/>
      <c r="H14" s="241" t="s">
        <v>24</v>
      </c>
      <c r="I14" s="241"/>
      <c r="J14" s="241"/>
      <c r="K14" s="241"/>
      <c r="L14" s="241"/>
      <c r="M14" s="241"/>
      <c r="N14" s="241"/>
      <c r="O14" s="241"/>
      <c r="P14" s="241"/>
      <c r="Q14" s="241"/>
      <c r="R14" s="241"/>
    </row>
    <row r="15" spans="1:18">
      <c r="A15" s="241"/>
      <c r="B15" s="241"/>
      <c r="C15" s="241"/>
      <c r="D15" s="241"/>
      <c r="E15" s="241"/>
      <c r="F15" s="241"/>
      <c r="G15" s="241"/>
      <c r="H15" s="241" t="s">
        <v>25</v>
      </c>
      <c r="I15" s="241"/>
      <c r="J15" s="241"/>
      <c r="K15" s="241"/>
      <c r="L15" s="241"/>
      <c r="M15" s="241"/>
      <c r="N15" s="241"/>
      <c r="O15" s="241"/>
      <c r="P15" s="241"/>
      <c r="Q15" s="241"/>
      <c r="R15" s="241"/>
    </row>
    <row r="16" spans="1:18">
      <c r="A16" s="241"/>
      <c r="B16" s="241"/>
      <c r="C16" s="241"/>
      <c r="D16" s="241"/>
      <c r="E16" s="241"/>
      <c r="F16" s="241"/>
      <c r="G16" s="241"/>
      <c r="H16" s="241" t="s">
        <v>26</v>
      </c>
      <c r="I16" s="241"/>
      <c r="J16" s="241"/>
      <c r="K16" s="241"/>
      <c r="L16" s="241"/>
      <c r="M16" s="241"/>
      <c r="N16" s="241"/>
      <c r="O16" s="241"/>
      <c r="P16" s="241"/>
      <c r="Q16" s="241"/>
      <c r="R16" s="241"/>
    </row>
    <row r="17" spans="8:8">
      <c r="H17" s="241" t="s">
        <v>27</v>
      </c>
    </row>
    <row r="18" spans="8:8">
      <c r="H18" s="241" t="s">
        <v>28</v>
      </c>
    </row>
    <row r="19" spans="8:8">
      <c r="H19" s="241" t="s">
        <v>29</v>
      </c>
    </row>
    <row r="20" spans="8:8">
      <c r="H20" s="241" t="s">
        <v>30</v>
      </c>
    </row>
    <row r="21" spans="8:8">
      <c r="H21" s="241" t="s">
        <v>31</v>
      </c>
    </row>
    <row r="22" spans="8:8">
      <c r="H22" s="241" t="s">
        <v>32</v>
      </c>
    </row>
    <row r="23" spans="8:8">
      <c r="H23" s="241" t="s">
        <v>33</v>
      </c>
    </row>
    <row r="24" spans="8:8">
      <c r="H24" s="241" t="s">
        <v>34</v>
      </c>
    </row>
    <row r="25" spans="8:8">
      <c r="H25" s="241" t="s">
        <v>35</v>
      </c>
    </row>
    <row r="26" spans="8:8">
      <c r="H26" s="241" t="s">
        <v>36</v>
      </c>
    </row>
    <row r="27" spans="8:8">
      <c r="H27" s="241" t="s">
        <v>37</v>
      </c>
    </row>
    <row r="28" spans="8:8">
      <c r="H28" s="241" t="s">
        <v>38</v>
      </c>
    </row>
    <row r="29" spans="8:8">
      <c r="H29" s="241" t="s">
        <v>39</v>
      </c>
    </row>
    <row r="30" spans="8:8">
      <c r="H30" s="241" t="s">
        <v>40</v>
      </c>
    </row>
    <row r="31" spans="8:8">
      <c r="H31" s="241" t="s">
        <v>2</v>
      </c>
    </row>
    <row r="32" spans="8:8">
      <c r="H32" s="241" t="s">
        <v>41</v>
      </c>
    </row>
    <row r="33" spans="8:8">
      <c r="H33" s="241" t="s">
        <v>42</v>
      </c>
    </row>
    <row r="34" spans="8:8">
      <c r="H34" s="241" t="s">
        <v>43</v>
      </c>
    </row>
    <row r="35" spans="8:8">
      <c r="H35" s="241" t="s">
        <v>44</v>
      </c>
    </row>
    <row r="36" spans="8:8">
      <c r="H36" s="241" t="s">
        <v>45</v>
      </c>
    </row>
    <row r="38" spans="8:8">
      <c r="H38" s="241" t="s">
        <v>46</v>
      </c>
    </row>
    <row r="39" spans="8:8">
      <c r="H39" s="241" t="s">
        <v>47</v>
      </c>
    </row>
    <row r="40" spans="8:8">
      <c r="H40" s="241" t="s">
        <v>48</v>
      </c>
    </row>
    <row r="41" spans="8:8">
      <c r="H41" s="241" t="s">
        <v>49</v>
      </c>
    </row>
    <row r="42" spans="8:8">
      <c r="H42" s="241" t="s">
        <v>50</v>
      </c>
    </row>
    <row r="43" spans="8:8">
      <c r="H43" s="241" t="s">
        <v>51</v>
      </c>
    </row>
    <row r="44" spans="8:8">
      <c r="H44" s="241" t="s">
        <v>52</v>
      </c>
    </row>
    <row r="45" spans="8:8">
      <c r="H45" s="241" t="s">
        <v>53</v>
      </c>
    </row>
  </sheetData>
  <mergeCells count="1">
    <mergeCell ref="A2:C2"/>
  </mergeCells>
  <dataValidations count="2">
    <dataValidation type="list" allowBlank="1" showInputMessage="1" showErrorMessage="1" prompt="Seleccione la CAR de la cual incorporara la información" sqref="C5" xr:uid="{00000000-0002-0000-0000-000000000000}">
      <formula1>Lista_CAR</formula1>
    </dataValidation>
    <dataValidation allowBlank="1" showInputMessage="1" showErrorMessage="1" prompt="Seleccione el perido a reportar" sqref="C6" xr:uid="{00000000-0002-0000-0000-000001000000}"/>
  </dataValidations>
  <hyperlinks>
    <hyperlink ref="C10" r:id="rId1" display="gescaf@crautonoma.gov.co" xr:uid="{00000000-0004-0000-0000-000000000000}"/>
  </hyperlinks>
  <pageMargins left="0.7" right="0.7" top="0.75" bottom="0.75" header="0.3" footer="0.3"/>
  <pageSetup paperSize="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U215"/>
  <sheetViews>
    <sheetView showGridLines="0" topLeftCell="A25" zoomScale="98" zoomScaleNormal="98" workbookViewId="0">
      <selection activeCell="G97" sqref="G97"/>
    </sheetView>
  </sheetViews>
  <sheetFormatPr defaultColWidth="11.5703125" defaultRowHeight="15"/>
  <cols>
    <col min="1" max="1" width="1.85546875" style="241" customWidth="1"/>
    <col min="2" max="2" width="12.85546875" style="4" customWidth="1"/>
    <col min="3" max="3" width="5" style="63" bestFit="1" customWidth="1"/>
    <col min="4" max="4" width="34.85546875" style="241" customWidth="1"/>
    <col min="5" max="5" width="12.140625" style="241" customWidth="1"/>
    <col min="6" max="6" width="20.140625" style="241" customWidth="1"/>
    <col min="7" max="7" width="11.5703125" style="241"/>
    <col min="8" max="8" width="13.28515625" style="241" customWidth="1"/>
    <col min="9" max="9" width="11.5703125" style="241"/>
    <col min="10" max="10" width="17.28515625" style="241" customWidth="1"/>
    <col min="11" max="11" width="19.7109375" style="241" customWidth="1"/>
    <col min="12" max="16384" width="11.570312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1436</v>
      </c>
      <c r="B5" s="996"/>
      <c r="C5" s="996"/>
      <c r="D5" s="996"/>
      <c r="E5" s="996"/>
      <c r="F5" s="996"/>
      <c r="G5" s="996"/>
      <c r="H5" s="996"/>
      <c r="I5" s="996"/>
      <c r="J5" s="996"/>
      <c r="K5" s="996"/>
      <c r="L5" s="996"/>
      <c r="M5" s="996"/>
      <c r="N5" s="996"/>
      <c r="O5" s="996"/>
      <c r="P5" s="997"/>
    </row>
    <row r="6" spans="1:21">
      <c r="B6" s="1" t="s">
        <v>1437</v>
      </c>
      <c r="C6" s="55"/>
      <c r="D6" s="4"/>
      <c r="E6" s="776"/>
      <c r="F6" s="4" t="s">
        <v>1438</v>
      </c>
      <c r="G6" s="4"/>
      <c r="H6" s="4"/>
      <c r="I6" s="4"/>
      <c r="J6" s="4"/>
      <c r="K6" s="4"/>
      <c r="L6" s="4"/>
    </row>
    <row r="7" spans="1:21" ht="15.75" thickBot="1">
      <c r="B7" s="702"/>
      <c r="C7" s="706"/>
      <c r="D7" s="4"/>
      <c r="E7" s="13"/>
      <c r="F7" s="4" t="s">
        <v>1439</v>
      </c>
      <c r="G7" s="4"/>
      <c r="H7" s="4"/>
      <c r="I7" s="4"/>
      <c r="J7" s="4"/>
      <c r="K7" s="4"/>
      <c r="L7" s="4"/>
    </row>
    <row r="8" spans="1:21" ht="15.75" thickBot="1">
      <c r="B8" s="131" t="s">
        <v>1440</v>
      </c>
      <c r="C8" s="184">
        <v>2020</v>
      </c>
      <c r="D8" s="169" t="str">
        <f>IF(E10="NO APLICA","NO APLICA",IF(E11="NO SE REPORTA","SIN INFORMACION",+G100))</f>
        <v>N.A.</v>
      </c>
      <c r="E8" s="186"/>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825" t="str">
        <f>IF(E11="SI SE REPORTA","¿Qué programas o proyectos del Plan de Acción están asociados al indicador? ","")</f>
        <v xml:space="preserve">¿Qué programas o proyectos del Plan de Acción están asociados al indicador? </v>
      </c>
      <c r="E12" s="1056" t="s">
        <v>1446</v>
      </c>
      <c r="F12" s="1056"/>
      <c r="G12" s="1056"/>
      <c r="H12" s="1056"/>
      <c r="I12" s="1056"/>
      <c r="J12" s="1056"/>
      <c r="K12" s="1056"/>
      <c r="L12" s="1056"/>
      <c r="M12" s="1056"/>
      <c r="N12" s="1056"/>
      <c r="O12" s="1056"/>
      <c r="P12" s="1056"/>
      <c r="Q12" s="1056"/>
      <c r="R12" s="1056"/>
    </row>
    <row r="13" spans="1:21" ht="123.75" customHeight="1">
      <c r="B13" s="300"/>
      <c r="C13" s="64"/>
      <c r="D13" s="132" t="s">
        <v>1447</v>
      </c>
      <c r="E13" s="1057" t="s">
        <v>1448</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6" customHeight="1" thickBot="1">
      <c r="B15" s="1003" t="s">
        <v>1449</v>
      </c>
      <c r="C15" s="74"/>
      <c r="D15" s="1009" t="s">
        <v>1450</v>
      </c>
      <c r="E15" s="1010"/>
      <c r="F15" s="1010"/>
      <c r="G15" s="1010"/>
      <c r="H15" s="1010"/>
      <c r="I15" s="1010"/>
      <c r="J15" s="1010"/>
      <c r="K15" s="1011"/>
    </row>
    <row r="16" spans="1:21" ht="36.75" thickBot="1">
      <c r="B16" s="1004"/>
      <c r="C16" s="78"/>
      <c r="D16" s="842" t="s">
        <v>1451</v>
      </c>
      <c r="E16" s="160">
        <v>4</v>
      </c>
      <c r="F16" s="4"/>
      <c r="G16" s="4"/>
      <c r="H16" s="4"/>
      <c r="I16" s="4"/>
      <c r="J16" s="4"/>
      <c r="K16" s="17"/>
    </row>
    <row r="17" spans="2:11" ht="36.75" thickBot="1">
      <c r="B17" s="1004"/>
      <c r="C17" s="78"/>
      <c r="D17" s="845" t="s">
        <v>1452</v>
      </c>
      <c r="E17" s="160">
        <v>3</v>
      </c>
      <c r="F17" s="4"/>
      <c r="G17" s="4"/>
      <c r="H17" s="4"/>
      <c r="I17" s="4"/>
      <c r="J17" s="4"/>
      <c r="K17" s="17"/>
    </row>
    <row r="18" spans="2:11" ht="48.75" thickBot="1">
      <c r="B18" s="1004"/>
      <c r="C18" s="78"/>
      <c r="D18" s="845" t="s">
        <v>1453</v>
      </c>
      <c r="E18" s="160">
        <v>1</v>
      </c>
      <c r="F18" s="4"/>
      <c r="G18" s="4"/>
      <c r="H18" s="4"/>
      <c r="I18" s="4"/>
      <c r="J18" s="4"/>
      <c r="K18" s="17"/>
    </row>
    <row r="19" spans="2:11" ht="24.75" thickBot="1">
      <c r="B19" s="1004"/>
      <c r="C19" s="78"/>
      <c r="D19" s="845" t="s">
        <v>1454</v>
      </c>
      <c r="E19" s="160">
        <v>3</v>
      </c>
      <c r="F19" s="4"/>
      <c r="G19" s="4"/>
      <c r="H19" s="4"/>
      <c r="I19" s="4"/>
      <c r="J19" s="4"/>
      <c r="K19" s="17"/>
    </row>
    <row r="20" spans="2:11" ht="24.75" thickBot="1">
      <c r="B20" s="1004"/>
      <c r="C20" s="78"/>
      <c r="D20" s="845" t="s">
        <v>1455</v>
      </c>
      <c r="E20" s="160">
        <v>1</v>
      </c>
      <c r="F20" s="4"/>
      <c r="G20" s="4"/>
      <c r="H20" s="4"/>
      <c r="I20" s="4"/>
      <c r="J20" s="4"/>
      <c r="K20" s="17"/>
    </row>
    <row r="21" spans="2:11" ht="24.75" thickBot="1">
      <c r="B21" s="1005"/>
      <c r="C21" s="78"/>
      <c r="D21" s="845" t="s">
        <v>1456</v>
      </c>
      <c r="E21" s="160">
        <v>0</v>
      </c>
      <c r="F21" s="31" t="s">
        <v>1457</v>
      </c>
      <c r="G21" s="4"/>
      <c r="H21" s="4"/>
      <c r="I21" s="4"/>
      <c r="J21" s="4"/>
      <c r="K21" s="17"/>
    </row>
    <row r="22" spans="2:11" ht="14.1" customHeight="1">
      <c r="B22" s="869"/>
      <c r="C22" s="75"/>
      <c r="D22" s="1012" t="s">
        <v>1458</v>
      </c>
      <c r="E22" s="1013"/>
      <c r="F22" s="1013"/>
      <c r="G22" s="1013"/>
      <c r="H22" s="1013"/>
      <c r="I22" s="1013"/>
      <c r="J22" s="1013"/>
      <c r="K22" s="1014"/>
    </row>
    <row r="23" spans="2:11" ht="14.1" customHeight="1" thickBot="1">
      <c r="B23" s="869"/>
      <c r="C23" s="75"/>
      <c r="D23" s="1012" t="s">
        <v>1459</v>
      </c>
      <c r="E23" s="1013"/>
      <c r="F23" s="1013"/>
      <c r="G23" s="1013"/>
      <c r="H23" s="1013"/>
      <c r="I23" s="1013"/>
      <c r="J23" s="1013"/>
      <c r="K23" s="1014"/>
    </row>
    <row r="24" spans="2:11" ht="54" customHeight="1" thickBot="1">
      <c r="B24" s="869"/>
      <c r="C24" s="173"/>
      <c r="D24" s="878" t="s">
        <v>1460</v>
      </c>
      <c r="E24" s="878" t="s">
        <v>1461</v>
      </c>
      <c r="F24" s="856" t="s">
        <v>1462</v>
      </c>
      <c r="G24" s="878" t="s">
        <v>1463</v>
      </c>
      <c r="H24" s="777" t="s">
        <v>1464</v>
      </c>
      <c r="I24" s="777" t="s">
        <v>1465</v>
      </c>
      <c r="J24" s="14"/>
      <c r="K24" s="15"/>
    </row>
    <row r="25" spans="2:11" s="146" customFormat="1" ht="64.5" customHeight="1" thickBot="1">
      <c r="B25" s="171"/>
      <c r="C25" s="173">
        <v>1</v>
      </c>
      <c r="D25" s="121" t="s">
        <v>1466</v>
      </c>
      <c r="E25" s="796" t="s">
        <v>1467</v>
      </c>
      <c r="F25" s="779" t="s">
        <v>1468</v>
      </c>
      <c r="G25" s="144">
        <v>126975</v>
      </c>
      <c r="H25" s="24" t="s">
        <v>1469</v>
      </c>
      <c r="I25" s="797">
        <v>0.05</v>
      </c>
      <c r="J25" s="1024" t="s">
        <v>1470</v>
      </c>
      <c r="K25" s="1024"/>
    </row>
    <row r="26" spans="2:11" s="146" customFormat="1" ht="36" customHeight="1" thickBot="1">
      <c r="B26" s="171"/>
      <c r="C26" s="173">
        <v>2</v>
      </c>
      <c r="D26" s="121" t="s">
        <v>1466</v>
      </c>
      <c r="E26" s="778">
        <v>2904</v>
      </c>
      <c r="F26" s="780" t="s">
        <v>1471</v>
      </c>
      <c r="G26" s="144">
        <v>113220</v>
      </c>
      <c r="H26" s="24" t="s">
        <v>1472</v>
      </c>
      <c r="I26" s="797">
        <v>0.98</v>
      </c>
      <c r="J26" s="1025" t="s">
        <v>1473</v>
      </c>
      <c r="K26" s="1026"/>
    </row>
    <row r="27" spans="2:11" s="146" customFormat="1" ht="36" customHeight="1" thickBot="1">
      <c r="B27" s="171"/>
      <c r="C27" s="173">
        <v>3</v>
      </c>
      <c r="D27" s="121" t="s">
        <v>1466</v>
      </c>
      <c r="E27" s="121">
        <v>2909</v>
      </c>
      <c r="F27" s="275" t="s">
        <v>1474</v>
      </c>
      <c r="G27" s="144">
        <v>30180</v>
      </c>
      <c r="H27" s="24" t="s">
        <v>1475</v>
      </c>
      <c r="I27" s="797">
        <v>1</v>
      </c>
      <c r="J27" s="1027">
        <v>30179.822400000001</v>
      </c>
      <c r="K27" s="1028"/>
    </row>
    <row r="28" spans="2:11" s="146" customFormat="1" ht="71.25" customHeight="1" thickBot="1">
      <c r="B28" s="171"/>
      <c r="C28" s="173">
        <v>4</v>
      </c>
      <c r="D28" s="121" t="s">
        <v>1466</v>
      </c>
      <c r="E28" s="121">
        <v>2903</v>
      </c>
      <c r="F28" s="781" t="s">
        <v>1476</v>
      </c>
      <c r="G28" s="144">
        <v>441011</v>
      </c>
      <c r="H28" s="24" t="s">
        <v>1472</v>
      </c>
      <c r="I28" s="797">
        <v>0.98</v>
      </c>
      <c r="J28" s="1024" t="s">
        <v>1477</v>
      </c>
      <c r="K28" s="1024"/>
    </row>
    <row r="29" spans="2:11" s="146" customFormat="1" ht="38.25" customHeight="1" thickBot="1">
      <c r="B29" s="171"/>
      <c r="C29" s="173">
        <v>5</v>
      </c>
      <c r="D29" s="121" t="s">
        <v>1478</v>
      </c>
      <c r="E29" s="121"/>
      <c r="F29" s="781" t="s">
        <v>1479</v>
      </c>
      <c r="G29" s="144"/>
      <c r="H29" s="24" t="s">
        <v>1480</v>
      </c>
      <c r="I29" s="175">
        <v>0</v>
      </c>
      <c r="J29" s="14"/>
      <c r="K29" s="15"/>
    </row>
    <row r="30" spans="2:11" s="146" customFormat="1" ht="14.1" customHeight="1" thickBot="1">
      <c r="B30" s="171"/>
      <c r="C30" s="173">
        <v>6</v>
      </c>
      <c r="D30" s="121" t="s">
        <v>1466</v>
      </c>
      <c r="E30" s="121"/>
      <c r="F30" s="121"/>
      <c r="G30" s="144"/>
      <c r="H30" s="24"/>
      <c r="I30" s="175"/>
      <c r="J30" s="14"/>
      <c r="K30" s="15"/>
    </row>
    <row r="31" spans="2:11" s="146" customFormat="1" ht="14.1" customHeight="1" thickBot="1">
      <c r="B31" s="171"/>
      <c r="C31" s="173">
        <v>7</v>
      </c>
      <c r="D31" s="121" t="s">
        <v>1466</v>
      </c>
      <c r="E31" s="121"/>
      <c r="F31" s="121"/>
      <c r="G31" s="144"/>
      <c r="H31" s="24"/>
      <c r="I31" s="175"/>
      <c r="J31" s="14"/>
      <c r="K31" s="15"/>
    </row>
    <row r="32" spans="2:11" s="146" customFormat="1" ht="14.1" customHeight="1" thickBot="1">
      <c r="B32" s="171"/>
      <c r="C32" s="173">
        <v>8</v>
      </c>
      <c r="D32" s="121" t="s">
        <v>1478</v>
      </c>
      <c r="E32" s="121"/>
      <c r="F32" s="121"/>
      <c r="G32" s="144"/>
      <c r="H32" s="24"/>
      <c r="I32" s="175"/>
      <c r="J32" s="14"/>
      <c r="K32" s="15"/>
    </row>
    <row r="33" spans="2:11" s="146" customFormat="1" ht="14.1" customHeight="1" thickBot="1">
      <c r="B33" s="171"/>
      <c r="C33" s="173">
        <v>9</v>
      </c>
      <c r="D33" s="121" t="s">
        <v>1466</v>
      </c>
      <c r="E33" s="121"/>
      <c r="F33" s="121"/>
      <c r="G33" s="144"/>
      <c r="H33" s="24"/>
      <c r="I33" s="175"/>
      <c r="J33" s="14"/>
      <c r="K33" s="15"/>
    </row>
    <row r="34" spans="2:11" s="146" customFormat="1" ht="14.1" customHeight="1" thickBot="1">
      <c r="B34" s="171"/>
      <c r="C34" s="173">
        <v>10</v>
      </c>
      <c r="D34" s="121" t="s">
        <v>1466</v>
      </c>
      <c r="E34" s="121"/>
      <c r="F34" s="121"/>
      <c r="G34" s="144"/>
      <c r="H34" s="24"/>
      <c r="I34" s="175"/>
      <c r="J34" s="14"/>
      <c r="K34" s="15"/>
    </row>
    <row r="35" spans="2:11" s="146" customFormat="1" ht="14.1" customHeight="1" thickBot="1">
      <c r="B35" s="171"/>
      <c r="C35" s="173">
        <v>11</v>
      </c>
      <c r="D35" s="121" t="s">
        <v>1478</v>
      </c>
      <c r="E35" s="121"/>
      <c r="F35" s="121"/>
      <c r="G35" s="144"/>
      <c r="H35" s="24"/>
      <c r="I35" s="175"/>
      <c r="J35" s="14"/>
      <c r="K35" s="15"/>
    </row>
    <row r="36" spans="2:11" s="146" customFormat="1" ht="14.1" customHeight="1" thickBot="1">
      <c r="B36" s="171"/>
      <c r="C36" s="173">
        <v>12</v>
      </c>
      <c r="D36" s="121" t="s">
        <v>1478</v>
      </c>
      <c r="E36" s="121"/>
      <c r="F36" s="121"/>
      <c r="G36" s="144"/>
      <c r="H36" s="24"/>
      <c r="I36" s="175"/>
      <c r="J36" s="14"/>
      <c r="K36" s="15"/>
    </row>
    <row r="37" spans="2:11" s="146" customFormat="1" ht="14.1" customHeight="1" thickBot="1">
      <c r="B37" s="171"/>
      <c r="C37" s="173">
        <v>13</v>
      </c>
      <c r="D37" s="121" t="s">
        <v>1481</v>
      </c>
      <c r="E37" s="121"/>
      <c r="F37" s="121"/>
      <c r="G37" s="144"/>
      <c r="H37" s="24"/>
      <c r="I37" s="175"/>
      <c r="J37" s="14"/>
      <c r="K37" s="15"/>
    </row>
    <row r="38" spans="2:11" s="146" customFormat="1" ht="14.1" customHeight="1" thickBot="1">
      <c r="B38" s="171"/>
      <c r="C38" s="173">
        <v>14</v>
      </c>
      <c r="D38" s="121" t="s">
        <v>1481</v>
      </c>
      <c r="E38" s="121"/>
      <c r="F38" s="121"/>
      <c r="G38" s="144"/>
      <c r="H38" s="24"/>
      <c r="I38" s="175"/>
      <c r="J38" s="14"/>
      <c r="K38" s="15"/>
    </row>
    <row r="39" spans="2:11" ht="14.1" customHeight="1">
      <c r="B39" s="869"/>
      <c r="C39" s="75"/>
      <c r="D39" s="1015" t="s">
        <v>1482</v>
      </c>
      <c r="E39" s="1016"/>
      <c r="F39" s="1016"/>
      <c r="G39" s="1016"/>
      <c r="H39" s="1016"/>
      <c r="I39" s="1016"/>
      <c r="J39" s="1016"/>
      <c r="K39" s="1017"/>
    </row>
    <row r="40" spans="2:11" ht="14.1" customHeight="1">
      <c r="B40" s="869"/>
      <c r="C40" s="75"/>
      <c r="D40" s="1018" t="s">
        <v>1483</v>
      </c>
      <c r="E40" s="1019"/>
      <c r="F40" s="1019"/>
      <c r="G40" s="1019"/>
      <c r="H40" s="1019"/>
      <c r="I40" s="1019"/>
      <c r="J40" s="1019"/>
      <c r="K40" s="1020"/>
    </row>
    <row r="41" spans="2:11" ht="14.1" customHeight="1">
      <c r="B41" s="869"/>
      <c r="C41" s="75"/>
      <c r="D41" s="1018" t="s">
        <v>1484</v>
      </c>
      <c r="E41" s="1019"/>
      <c r="F41" s="1019"/>
      <c r="G41" s="1019"/>
      <c r="H41" s="1019"/>
      <c r="I41" s="1019"/>
      <c r="J41" s="1019"/>
      <c r="K41" s="1020"/>
    </row>
    <row r="42" spans="2:11" ht="14.1" customHeight="1">
      <c r="B42" s="869"/>
      <c r="C42" s="75"/>
      <c r="D42" s="1018" t="s">
        <v>1485</v>
      </c>
      <c r="E42" s="1019"/>
      <c r="F42" s="1019"/>
      <c r="G42" s="1019"/>
      <c r="H42" s="1019"/>
      <c r="I42" s="1019"/>
      <c r="J42" s="1019"/>
      <c r="K42" s="1020"/>
    </row>
    <row r="43" spans="2:11" ht="14.1" customHeight="1" thickBot="1">
      <c r="B43" s="869"/>
      <c r="C43" s="75"/>
      <c r="D43" s="1006" t="s">
        <v>1486</v>
      </c>
      <c r="E43" s="1007"/>
      <c r="F43" s="1007"/>
      <c r="G43" s="1007"/>
      <c r="H43" s="1007"/>
      <c r="I43" s="1007"/>
      <c r="J43" s="1007"/>
      <c r="K43" s="1008"/>
    </row>
    <row r="44" spans="2:11" ht="14.1" customHeight="1" thickBot="1">
      <c r="B44" s="869"/>
      <c r="C44" s="878" t="s">
        <v>1402</v>
      </c>
      <c r="D44" s="842" t="s">
        <v>1460</v>
      </c>
      <c r="E44" s="842" t="s">
        <v>1461</v>
      </c>
      <c r="F44" s="881" t="s">
        <v>1462</v>
      </c>
      <c r="G44" s="66" t="s">
        <v>1487</v>
      </c>
      <c r="H44" s="66" t="s">
        <v>1488</v>
      </c>
      <c r="I44" s="66" t="s">
        <v>1489</v>
      </c>
      <c r="J44" s="66" t="s">
        <v>1490</v>
      </c>
      <c r="K44" s="83"/>
    </row>
    <row r="45" spans="2:11" s="146" customFormat="1" ht="49.5" thickBot="1">
      <c r="B45" s="171"/>
      <c r="C45" s="173">
        <v>1</v>
      </c>
      <c r="D45" s="121" t="s">
        <v>1466</v>
      </c>
      <c r="E45" s="778"/>
      <c r="F45" s="779" t="s">
        <v>1491</v>
      </c>
      <c r="G45" s="26"/>
      <c r="H45" s="26"/>
      <c r="I45" s="26">
        <v>1</v>
      </c>
      <c r="J45" s="26"/>
      <c r="K45" s="81"/>
    </row>
    <row r="46" spans="2:11" s="146" customFormat="1" ht="36.75" thickBot="1">
      <c r="B46" s="171"/>
      <c r="C46" s="173">
        <v>2</v>
      </c>
      <c r="D46" s="121" t="s">
        <v>1466</v>
      </c>
      <c r="E46" s="778"/>
      <c r="F46" s="780" t="s">
        <v>1471</v>
      </c>
      <c r="G46" s="26">
        <v>1</v>
      </c>
      <c r="H46" s="26"/>
      <c r="I46" s="26"/>
      <c r="J46" s="26"/>
      <c r="K46" s="81"/>
    </row>
    <row r="47" spans="2:11" s="146" customFormat="1" ht="45.75" thickBot="1">
      <c r="B47" s="171"/>
      <c r="C47" s="173">
        <v>3</v>
      </c>
      <c r="D47" s="121" t="s">
        <v>1466</v>
      </c>
      <c r="E47" s="778"/>
      <c r="F47" s="782" t="s">
        <v>1476</v>
      </c>
      <c r="G47" s="26"/>
      <c r="H47" s="26">
        <v>1</v>
      </c>
      <c r="I47" s="26"/>
      <c r="J47" s="26"/>
      <c r="K47" s="81" t="s">
        <v>1492</v>
      </c>
    </row>
    <row r="48" spans="2:11" s="146" customFormat="1" ht="38.25" customHeight="1" thickBot="1">
      <c r="B48" s="171"/>
      <c r="C48" s="173">
        <v>4</v>
      </c>
      <c r="D48" s="121" t="s">
        <v>1466</v>
      </c>
      <c r="E48" s="778"/>
      <c r="F48" s="782"/>
      <c r="G48" s="26"/>
      <c r="H48" s="26"/>
      <c r="I48" s="26"/>
      <c r="J48" s="26"/>
      <c r="K48" s="81"/>
    </row>
    <row r="49" spans="2:11" s="146" customFormat="1" ht="24.75" thickBot="1">
      <c r="B49" s="171"/>
      <c r="C49" s="173">
        <v>5</v>
      </c>
      <c r="D49" s="121" t="s">
        <v>1478</v>
      </c>
      <c r="E49" s="121"/>
      <c r="F49" s="781" t="s">
        <v>1479</v>
      </c>
      <c r="G49" s="26"/>
      <c r="H49" s="26"/>
      <c r="I49" s="26">
        <v>1</v>
      </c>
      <c r="J49" s="26"/>
      <c r="K49" s="81"/>
    </row>
    <row r="50" spans="2:11" s="146" customFormat="1" ht="12" customHeight="1" thickBot="1">
      <c r="B50" s="171"/>
      <c r="C50" s="173">
        <v>6</v>
      </c>
      <c r="D50" s="121" t="s">
        <v>1478</v>
      </c>
      <c r="E50" s="778"/>
      <c r="F50" s="783"/>
      <c r="G50" s="26"/>
      <c r="H50" s="26"/>
      <c r="I50" s="26"/>
      <c r="J50" s="26"/>
      <c r="K50" s="81"/>
    </row>
    <row r="51" spans="2:11" s="146" customFormat="1" ht="14.1" customHeight="1" thickBot="1">
      <c r="B51" s="171"/>
      <c r="C51" s="173">
        <v>7</v>
      </c>
      <c r="D51" s="121" t="s">
        <v>1466</v>
      </c>
      <c r="E51" s="778"/>
      <c r="F51" s="784"/>
      <c r="G51" s="26"/>
      <c r="H51" s="26"/>
      <c r="I51" s="26"/>
      <c r="J51" s="26"/>
      <c r="K51" s="81"/>
    </row>
    <row r="52" spans="2:11" s="146" customFormat="1" ht="14.1" customHeight="1" thickBot="1">
      <c r="B52" s="171"/>
      <c r="C52" s="173">
        <v>8</v>
      </c>
      <c r="D52" s="121" t="s">
        <v>1478</v>
      </c>
      <c r="E52" s="121"/>
      <c r="F52" s="121"/>
      <c r="G52" s="26"/>
      <c r="H52" s="26"/>
      <c r="I52" s="26"/>
      <c r="J52" s="26"/>
      <c r="K52" s="81"/>
    </row>
    <row r="53" spans="2:11" s="146" customFormat="1" ht="14.1" customHeight="1" thickBot="1">
      <c r="B53" s="171"/>
      <c r="C53" s="173">
        <v>9</v>
      </c>
      <c r="D53" s="121" t="s">
        <v>1478</v>
      </c>
      <c r="E53" s="121"/>
      <c r="F53" s="121"/>
      <c r="G53" s="26"/>
      <c r="H53" s="26"/>
      <c r="I53" s="26"/>
      <c r="J53" s="26"/>
      <c r="K53" s="81"/>
    </row>
    <row r="54" spans="2:11" s="146" customFormat="1" ht="14.1" customHeight="1" thickBot="1">
      <c r="B54" s="171"/>
      <c r="C54" s="173">
        <v>10</v>
      </c>
      <c r="D54" s="121" t="s">
        <v>1466</v>
      </c>
      <c r="E54" s="121"/>
      <c r="F54" s="121"/>
      <c r="G54" s="26"/>
      <c r="H54" s="26"/>
      <c r="I54" s="26"/>
      <c r="J54" s="26"/>
      <c r="K54" s="81"/>
    </row>
    <row r="55" spans="2:11" s="146" customFormat="1" ht="14.1" customHeight="1" thickBot="1">
      <c r="B55" s="171"/>
      <c r="C55" s="173">
        <v>11</v>
      </c>
      <c r="D55" s="121" t="s">
        <v>1466</v>
      </c>
      <c r="E55" s="121"/>
      <c r="F55" s="121"/>
      <c r="G55" s="26"/>
      <c r="H55" s="26"/>
      <c r="I55" s="26"/>
      <c r="J55" s="26"/>
      <c r="K55" s="81"/>
    </row>
    <row r="56" spans="2:11" s="146" customFormat="1" ht="14.1" customHeight="1" thickBot="1">
      <c r="B56" s="171"/>
      <c r="C56" s="173">
        <v>12</v>
      </c>
      <c r="D56" s="121" t="s">
        <v>1478</v>
      </c>
      <c r="E56" s="121"/>
      <c r="F56" s="121"/>
      <c r="G56" s="26"/>
      <c r="H56" s="26"/>
      <c r="I56" s="26"/>
      <c r="J56" s="26"/>
      <c r="K56" s="81"/>
    </row>
    <row r="57" spans="2:11" s="146" customFormat="1" ht="14.1" customHeight="1" thickBot="1">
      <c r="B57" s="171"/>
      <c r="C57" s="173">
        <v>13</v>
      </c>
      <c r="D57" s="121" t="s">
        <v>1478</v>
      </c>
      <c r="E57" s="121"/>
      <c r="F57" s="121"/>
      <c r="G57" s="26"/>
      <c r="H57" s="26"/>
      <c r="I57" s="26"/>
      <c r="J57" s="26"/>
      <c r="K57" s="81"/>
    </row>
    <row r="58" spans="2:11" s="146" customFormat="1" ht="14.1" customHeight="1" thickBot="1">
      <c r="B58" s="171"/>
      <c r="C58" s="173">
        <v>14</v>
      </c>
      <c r="D58" s="121" t="s">
        <v>1481</v>
      </c>
      <c r="E58" s="121"/>
      <c r="F58" s="121"/>
      <c r="G58" s="26"/>
      <c r="H58" s="26"/>
      <c r="I58" s="26"/>
      <c r="J58" s="26"/>
      <c r="K58" s="82"/>
    </row>
    <row r="59" spans="2:11" ht="14.1" customHeight="1">
      <c r="B59" s="869"/>
      <c r="C59" s="75"/>
      <c r="D59" s="1009" t="s">
        <v>1493</v>
      </c>
      <c r="E59" s="1010"/>
      <c r="F59" s="1010"/>
      <c r="G59" s="1010"/>
      <c r="H59" s="1010"/>
      <c r="I59" s="1010"/>
      <c r="J59" s="1010"/>
      <c r="K59" s="1011"/>
    </row>
    <row r="60" spans="2:11" ht="14.1" customHeight="1" thickBot="1">
      <c r="B60" s="869"/>
      <c r="C60" s="75"/>
      <c r="D60" s="1006" t="s">
        <v>1494</v>
      </c>
      <c r="E60" s="1007"/>
      <c r="F60" s="1007"/>
      <c r="G60" s="1007"/>
      <c r="H60" s="1007"/>
      <c r="I60" s="1007"/>
      <c r="J60" s="1007"/>
      <c r="K60" s="1008"/>
    </row>
    <row r="61" spans="2:11" ht="14.1" customHeight="1" thickBot="1">
      <c r="B61" s="869"/>
      <c r="C61" s="878" t="s">
        <v>1402</v>
      </c>
      <c r="D61" s="842" t="s">
        <v>1460</v>
      </c>
      <c r="E61" s="842" t="s">
        <v>1495</v>
      </c>
      <c r="F61" s="872" t="s">
        <v>1462</v>
      </c>
      <c r="G61" s="66" t="s">
        <v>1487</v>
      </c>
      <c r="H61" s="66" t="s">
        <v>1488</v>
      </c>
      <c r="I61" s="66" t="s">
        <v>1489</v>
      </c>
      <c r="J61" s="66" t="s">
        <v>1490</v>
      </c>
      <c r="K61" s="83"/>
    </row>
    <row r="62" spans="2:11" s="146" customFormat="1" ht="55.5" customHeight="1" thickBot="1">
      <c r="B62" s="171"/>
      <c r="C62" s="173">
        <v>1</v>
      </c>
      <c r="D62" s="176" t="str">
        <f>IF(ISBLANK(D45),"",D45)</f>
        <v>POMCA</v>
      </c>
      <c r="E62" s="176" t="str">
        <f t="shared" ref="E62:F75" si="0">IF(ISBLANK(E45),"",E45)</f>
        <v/>
      </c>
      <c r="F62" s="785" t="str">
        <f>IF(ISBLANK(F45),"",F45)</f>
        <v xml:space="preserve"> Plan de Ordenación y Manejo de Cuencas Hidrográfica de la Cuenca de Mar Caribe</v>
      </c>
      <c r="G62" s="26"/>
      <c r="H62" s="26"/>
      <c r="I62" s="26"/>
      <c r="J62" s="26"/>
      <c r="K62" s="81"/>
    </row>
    <row r="63" spans="2:11" s="146" customFormat="1" ht="44.25" customHeight="1" thickBot="1">
      <c r="B63" s="171"/>
      <c r="C63" s="173">
        <v>2</v>
      </c>
      <c r="D63" s="176" t="str">
        <f t="shared" ref="D63:D75" si="1">IF(ISBLANK(D46),"",D46)</f>
        <v>POMCA</v>
      </c>
      <c r="E63" s="176" t="str">
        <f t="shared" si="0"/>
        <v/>
      </c>
      <c r="F63" s="785" t="str">
        <f t="shared" si="0"/>
        <v>Cuenca del complejo de humedades del Rio Magdalena</v>
      </c>
      <c r="G63" s="26">
        <v>0.98</v>
      </c>
      <c r="H63" s="26"/>
      <c r="I63" s="26"/>
      <c r="J63" s="26"/>
      <c r="K63" s="81"/>
    </row>
    <row r="64" spans="2:11" s="146" customFormat="1" ht="30" customHeight="1" thickBot="1">
      <c r="B64" s="171"/>
      <c r="C64" s="173">
        <v>3</v>
      </c>
      <c r="D64" s="176" t="str">
        <f t="shared" si="1"/>
        <v>POMCA</v>
      </c>
      <c r="E64" s="176" t="str">
        <f t="shared" si="0"/>
        <v/>
      </c>
      <c r="F64" s="785" t="str">
        <f t="shared" si="0"/>
        <v>Cuencas Hidrográficas del Canal del Dique.</v>
      </c>
      <c r="G64" s="26">
        <v>0.98</v>
      </c>
      <c r="H64" s="26"/>
      <c r="I64" s="26"/>
      <c r="J64" s="26"/>
      <c r="K64" s="81"/>
    </row>
    <row r="65" spans="2:11" s="146" customFormat="1" ht="14.1" customHeight="1" thickBot="1">
      <c r="B65" s="171"/>
      <c r="C65" s="173">
        <v>4</v>
      </c>
      <c r="D65" s="176" t="str">
        <f t="shared" si="1"/>
        <v>POMCA</v>
      </c>
      <c r="E65" s="176" t="str">
        <f t="shared" si="0"/>
        <v/>
      </c>
      <c r="F65" s="176" t="e">
        <f>IF(ISBLANK(#REF!),"",#REF!)</f>
        <v>#REF!</v>
      </c>
      <c r="G65" s="26"/>
      <c r="H65" s="26"/>
      <c r="I65" s="26"/>
      <c r="J65" s="26"/>
      <c r="K65" s="81"/>
    </row>
    <row r="66" spans="2:11" s="146" customFormat="1" ht="27.75" customHeight="1" thickBot="1">
      <c r="B66" s="171"/>
      <c r="C66" s="173">
        <v>5</v>
      </c>
      <c r="D66" s="176" t="str">
        <f t="shared" si="1"/>
        <v>PMA</v>
      </c>
      <c r="E66" s="176" t="str">
        <f t="shared" si="0"/>
        <v/>
      </c>
      <c r="F66" s="785" t="str">
        <f t="shared" si="0"/>
        <v>Sistema de acuifero de Sabanalarga- Tubara</v>
      </c>
      <c r="G66" s="26"/>
      <c r="H66" s="26"/>
      <c r="I66" s="26"/>
      <c r="J66" s="26"/>
      <c r="K66" s="81"/>
    </row>
    <row r="67" spans="2:11" s="146" customFormat="1" ht="38.25" customHeight="1" thickBot="1">
      <c r="B67" s="171"/>
      <c r="C67" s="173">
        <v>6</v>
      </c>
      <c r="D67" s="176" t="str">
        <f t="shared" si="1"/>
        <v>PMA</v>
      </c>
      <c r="E67" s="176" t="str">
        <f t="shared" si="0"/>
        <v/>
      </c>
      <c r="F67" s="785"/>
      <c r="G67" s="26"/>
      <c r="H67" s="26"/>
      <c r="I67" s="26"/>
      <c r="J67" s="26"/>
      <c r="K67" s="81"/>
    </row>
    <row r="68" spans="2:11" s="146" customFormat="1" ht="14.1" customHeight="1" thickBot="1">
      <c r="B68" s="171"/>
      <c r="C68" s="173">
        <v>7</v>
      </c>
      <c r="D68" s="176" t="str">
        <f t="shared" si="1"/>
        <v>POMCA</v>
      </c>
      <c r="E68" s="176" t="str">
        <f t="shared" si="0"/>
        <v/>
      </c>
      <c r="F68" s="176" t="str">
        <f t="shared" si="0"/>
        <v/>
      </c>
      <c r="G68" s="26"/>
      <c r="H68" s="26"/>
      <c r="I68" s="26"/>
      <c r="J68" s="26"/>
      <c r="K68" s="81"/>
    </row>
    <row r="69" spans="2:11" s="146" customFormat="1" ht="14.1" customHeight="1" thickBot="1">
      <c r="B69" s="171"/>
      <c r="C69" s="173">
        <v>8</v>
      </c>
      <c r="D69" s="176" t="str">
        <f t="shared" si="1"/>
        <v>PMA</v>
      </c>
      <c r="E69" s="176" t="str">
        <f t="shared" si="0"/>
        <v/>
      </c>
      <c r="F69" s="176" t="str">
        <f t="shared" si="0"/>
        <v/>
      </c>
      <c r="G69" s="26"/>
      <c r="H69" s="26"/>
      <c r="I69" s="26"/>
      <c r="J69" s="26"/>
      <c r="K69" s="81"/>
    </row>
    <row r="70" spans="2:11" s="146" customFormat="1" ht="14.1" customHeight="1" thickBot="1">
      <c r="B70" s="171"/>
      <c r="C70" s="173">
        <v>9</v>
      </c>
      <c r="D70" s="176" t="str">
        <f t="shared" si="1"/>
        <v>PMA</v>
      </c>
      <c r="E70" s="176" t="str">
        <f t="shared" si="0"/>
        <v/>
      </c>
      <c r="F70" s="176" t="str">
        <f t="shared" si="0"/>
        <v/>
      </c>
      <c r="G70" s="26"/>
      <c r="H70" s="26"/>
      <c r="I70" s="26"/>
      <c r="J70" s="26"/>
      <c r="K70" s="81"/>
    </row>
    <row r="71" spans="2:11" s="146" customFormat="1" ht="14.1" customHeight="1" thickBot="1">
      <c r="B71" s="171"/>
      <c r="C71" s="173">
        <v>10</v>
      </c>
      <c r="D71" s="176" t="str">
        <f t="shared" si="1"/>
        <v>POMCA</v>
      </c>
      <c r="E71" s="176" t="str">
        <f t="shared" si="0"/>
        <v/>
      </c>
      <c r="F71" s="176" t="str">
        <f t="shared" si="0"/>
        <v/>
      </c>
      <c r="G71" s="26"/>
      <c r="H71" s="26"/>
      <c r="I71" s="26"/>
      <c r="J71" s="26"/>
      <c r="K71" s="81"/>
    </row>
    <row r="72" spans="2:11" s="146" customFormat="1" ht="14.1" customHeight="1" thickBot="1">
      <c r="B72" s="171"/>
      <c r="C72" s="173">
        <v>11</v>
      </c>
      <c r="D72" s="176" t="str">
        <f t="shared" si="1"/>
        <v>POMCA</v>
      </c>
      <c r="E72" s="176" t="str">
        <f t="shared" si="0"/>
        <v/>
      </c>
      <c r="F72" s="176" t="str">
        <f t="shared" si="0"/>
        <v/>
      </c>
      <c r="G72" s="26"/>
      <c r="H72" s="26"/>
      <c r="I72" s="26"/>
      <c r="J72" s="26"/>
      <c r="K72" s="81"/>
    </row>
    <row r="73" spans="2:11" s="146" customFormat="1" ht="14.1" customHeight="1" thickBot="1">
      <c r="B73" s="171"/>
      <c r="C73" s="173">
        <v>12</v>
      </c>
      <c r="D73" s="176" t="str">
        <f t="shared" si="1"/>
        <v>PMA</v>
      </c>
      <c r="E73" s="176" t="str">
        <f t="shared" si="0"/>
        <v/>
      </c>
      <c r="F73" s="176" t="str">
        <f t="shared" si="0"/>
        <v/>
      </c>
      <c r="G73" s="26"/>
      <c r="H73" s="26"/>
      <c r="I73" s="26"/>
      <c r="J73" s="26"/>
      <c r="K73" s="81"/>
    </row>
    <row r="74" spans="2:11" s="146" customFormat="1" ht="14.1" customHeight="1" thickBot="1">
      <c r="B74" s="171"/>
      <c r="C74" s="173">
        <v>13</v>
      </c>
      <c r="D74" s="176" t="str">
        <f t="shared" si="1"/>
        <v>PMA</v>
      </c>
      <c r="E74" s="176" t="str">
        <f t="shared" si="0"/>
        <v/>
      </c>
      <c r="F74" s="176" t="str">
        <f t="shared" si="0"/>
        <v/>
      </c>
      <c r="G74" s="26"/>
      <c r="H74" s="26"/>
      <c r="I74" s="26"/>
      <c r="J74" s="26"/>
      <c r="K74" s="81"/>
    </row>
    <row r="75" spans="2:11" s="146" customFormat="1" ht="14.1" customHeight="1" thickBot="1">
      <c r="B75" s="171"/>
      <c r="C75" s="173">
        <v>14</v>
      </c>
      <c r="D75" s="176" t="str">
        <f t="shared" si="1"/>
        <v>PMM</v>
      </c>
      <c r="E75" s="176" t="str">
        <f t="shared" si="0"/>
        <v/>
      </c>
      <c r="F75" s="176" t="str">
        <f t="shared" si="0"/>
        <v/>
      </c>
      <c r="G75" s="26"/>
      <c r="H75" s="26"/>
      <c r="I75" s="26"/>
      <c r="J75" s="26"/>
      <c r="K75" s="81"/>
    </row>
    <row r="76" spans="2:11" ht="14.1" customHeight="1">
      <c r="B76" s="869"/>
      <c r="C76" s="75"/>
      <c r="D76" s="1009" t="s">
        <v>1482</v>
      </c>
      <c r="E76" s="1010"/>
      <c r="F76" s="1010"/>
      <c r="G76" s="1010"/>
      <c r="H76" s="1010"/>
      <c r="I76" s="1010"/>
      <c r="J76" s="1010"/>
      <c r="K76" s="1011"/>
    </row>
    <row r="77" spans="2:11" ht="14.1" customHeight="1">
      <c r="B77" s="869"/>
      <c r="C77" s="75"/>
      <c r="D77" s="1015" t="s">
        <v>1496</v>
      </c>
      <c r="E77" s="1016"/>
      <c r="F77" s="1016"/>
      <c r="G77" s="1016"/>
      <c r="H77" s="1016"/>
      <c r="I77" s="1016"/>
      <c r="J77" s="1016"/>
      <c r="K77" s="1017"/>
    </row>
    <row r="78" spans="2:11" ht="14.1" customHeight="1" thickBot="1">
      <c r="B78" s="869"/>
      <c r="C78" s="75"/>
      <c r="D78" s="1006" t="s">
        <v>1497</v>
      </c>
      <c r="E78" s="1007"/>
      <c r="F78" s="1007"/>
      <c r="G78" s="1007"/>
      <c r="H78" s="1007"/>
      <c r="I78" s="1007"/>
      <c r="J78" s="1007"/>
      <c r="K78" s="1008"/>
    </row>
    <row r="79" spans="2:11" ht="14.1" customHeight="1" thickBot="1">
      <c r="B79" s="869"/>
      <c r="C79" s="786" t="s">
        <v>1402</v>
      </c>
      <c r="D79" s="852" t="s">
        <v>1460</v>
      </c>
      <c r="E79" s="852" t="s">
        <v>1495</v>
      </c>
      <c r="F79" s="876" t="s">
        <v>1462</v>
      </c>
      <c r="G79" s="876" t="s">
        <v>1487</v>
      </c>
      <c r="H79" s="876" t="s">
        <v>1488</v>
      </c>
      <c r="I79" s="876" t="s">
        <v>1489</v>
      </c>
      <c r="J79" s="876" t="s">
        <v>1490</v>
      </c>
      <c r="K79" s="83"/>
    </row>
    <row r="80" spans="2:11" ht="14.1" customHeight="1" thickBot="1">
      <c r="B80" s="869"/>
      <c r="C80" s="857">
        <v>1</v>
      </c>
      <c r="D80" s="787" t="str">
        <f t="shared" ref="D80:F93" si="2">IF(ISBLANK(D62),"",D62)</f>
        <v>POMCA</v>
      </c>
      <c r="E80" s="787" t="str">
        <f t="shared" si="2"/>
        <v/>
      </c>
      <c r="F80" s="787" t="str">
        <f t="shared" si="2"/>
        <v xml:space="preserve"> Plan de Ordenación y Manejo de Cuencas Hidrográfica de la Cuenca de Mar Caribe</v>
      </c>
      <c r="G80" s="765" t="str">
        <f t="shared" ref="G80:J93" si="3">IFERROR(G62/G45,"N.A.")</f>
        <v>N.A.</v>
      </c>
      <c r="H80" s="765" t="str">
        <f t="shared" si="3"/>
        <v>N.A.</v>
      </c>
      <c r="I80" s="765">
        <f t="shared" si="3"/>
        <v>0</v>
      </c>
      <c r="J80" s="765" t="str">
        <f t="shared" si="3"/>
        <v>N.A.</v>
      </c>
      <c r="K80" s="84"/>
    </row>
    <row r="81" spans="2:11" ht="14.1" customHeight="1" thickBot="1">
      <c r="B81" s="869"/>
      <c r="C81" s="857">
        <v>2</v>
      </c>
      <c r="D81" s="787" t="str">
        <f t="shared" si="2"/>
        <v>POMCA</v>
      </c>
      <c r="E81" s="787" t="str">
        <f t="shared" si="2"/>
        <v/>
      </c>
      <c r="F81" s="787" t="str">
        <f t="shared" si="2"/>
        <v>Cuenca del complejo de humedades del Rio Magdalena</v>
      </c>
      <c r="G81" s="765">
        <f t="shared" si="3"/>
        <v>0.98</v>
      </c>
      <c r="H81" s="765" t="str">
        <f t="shared" si="3"/>
        <v>N.A.</v>
      </c>
      <c r="I81" s="765" t="str">
        <f t="shared" si="3"/>
        <v>N.A.</v>
      </c>
      <c r="J81" s="765" t="str">
        <f t="shared" si="3"/>
        <v>N.A.</v>
      </c>
      <c r="K81" s="84"/>
    </row>
    <row r="82" spans="2:11" ht="14.1" customHeight="1" thickBot="1">
      <c r="B82" s="869"/>
      <c r="C82" s="857">
        <v>3</v>
      </c>
      <c r="D82" s="787" t="str">
        <f t="shared" si="2"/>
        <v>POMCA</v>
      </c>
      <c r="E82" s="787" t="str">
        <f t="shared" si="2"/>
        <v/>
      </c>
      <c r="F82" s="787" t="str">
        <f t="shared" si="2"/>
        <v>Cuencas Hidrográficas del Canal del Dique.</v>
      </c>
      <c r="G82" s="765" t="str">
        <f t="shared" si="3"/>
        <v>N.A.</v>
      </c>
      <c r="H82" s="765">
        <f t="shared" si="3"/>
        <v>0</v>
      </c>
      <c r="I82" s="765" t="str">
        <f t="shared" si="3"/>
        <v>N.A.</v>
      </c>
      <c r="J82" s="765" t="str">
        <f t="shared" si="3"/>
        <v>N.A.</v>
      </c>
      <c r="K82" s="84"/>
    </row>
    <row r="83" spans="2:11" ht="14.1" customHeight="1" thickBot="1">
      <c r="B83" s="869"/>
      <c r="C83" s="857">
        <v>4</v>
      </c>
      <c r="D83" s="787" t="str">
        <f t="shared" si="2"/>
        <v>POMCA</v>
      </c>
      <c r="E83" s="787" t="str">
        <f t="shared" si="2"/>
        <v/>
      </c>
      <c r="F83" s="787" t="e">
        <f t="shared" si="2"/>
        <v>#REF!</v>
      </c>
      <c r="G83" s="765" t="str">
        <f t="shared" si="3"/>
        <v>N.A.</v>
      </c>
      <c r="H83" s="765" t="str">
        <f t="shared" si="3"/>
        <v>N.A.</v>
      </c>
      <c r="I83" s="765" t="str">
        <f t="shared" si="3"/>
        <v>N.A.</v>
      </c>
      <c r="J83" s="765" t="str">
        <f t="shared" si="3"/>
        <v>N.A.</v>
      </c>
      <c r="K83" s="84"/>
    </row>
    <row r="84" spans="2:11" ht="14.1" customHeight="1" thickBot="1">
      <c r="B84" s="869"/>
      <c r="C84" s="857">
        <v>5</v>
      </c>
      <c r="D84" s="787" t="str">
        <f t="shared" si="2"/>
        <v>PMA</v>
      </c>
      <c r="E84" s="787" t="str">
        <f t="shared" si="2"/>
        <v/>
      </c>
      <c r="F84" s="787" t="str">
        <f t="shared" si="2"/>
        <v>Sistema de acuifero de Sabanalarga- Tubara</v>
      </c>
      <c r="G84" s="765" t="str">
        <f t="shared" si="3"/>
        <v>N.A.</v>
      </c>
      <c r="H84" s="765" t="str">
        <f t="shared" si="3"/>
        <v>N.A.</v>
      </c>
      <c r="I84" s="765">
        <f t="shared" si="3"/>
        <v>0</v>
      </c>
      <c r="J84" s="765" t="str">
        <f t="shared" si="3"/>
        <v>N.A.</v>
      </c>
      <c r="K84" s="84"/>
    </row>
    <row r="85" spans="2:11" ht="14.1" customHeight="1" thickBot="1">
      <c r="B85" s="869"/>
      <c r="C85" s="857">
        <v>6</v>
      </c>
      <c r="D85" s="787" t="str">
        <f t="shared" si="2"/>
        <v>PMA</v>
      </c>
      <c r="E85" s="787" t="str">
        <f t="shared" si="2"/>
        <v/>
      </c>
      <c r="F85" s="787" t="str">
        <f t="shared" si="2"/>
        <v/>
      </c>
      <c r="G85" s="765" t="str">
        <f t="shared" si="3"/>
        <v>N.A.</v>
      </c>
      <c r="H85" s="765" t="str">
        <f t="shared" si="3"/>
        <v>N.A.</v>
      </c>
      <c r="I85" s="765" t="str">
        <f t="shared" si="3"/>
        <v>N.A.</v>
      </c>
      <c r="J85" s="765" t="str">
        <f t="shared" si="3"/>
        <v>N.A.</v>
      </c>
      <c r="K85" s="85"/>
    </row>
    <row r="86" spans="2:11" ht="14.1" customHeight="1" thickBot="1">
      <c r="B86" s="869"/>
      <c r="C86" s="857">
        <v>7</v>
      </c>
      <c r="D86" s="787" t="str">
        <f t="shared" si="2"/>
        <v>POMCA</v>
      </c>
      <c r="E86" s="787" t="str">
        <f t="shared" si="2"/>
        <v/>
      </c>
      <c r="F86" s="787" t="str">
        <f t="shared" si="2"/>
        <v/>
      </c>
      <c r="G86" s="765" t="str">
        <f t="shared" si="3"/>
        <v>N.A.</v>
      </c>
      <c r="H86" s="765" t="str">
        <f t="shared" si="3"/>
        <v>N.A.</v>
      </c>
      <c r="I86" s="765" t="str">
        <f t="shared" si="3"/>
        <v>N.A.</v>
      </c>
      <c r="J86" s="765" t="str">
        <f t="shared" si="3"/>
        <v>N.A.</v>
      </c>
      <c r="K86" s="84"/>
    </row>
    <row r="87" spans="2:11" ht="14.1" customHeight="1" thickBot="1">
      <c r="B87" s="869"/>
      <c r="C87" s="857">
        <v>8</v>
      </c>
      <c r="D87" s="787" t="str">
        <f t="shared" si="2"/>
        <v>PMA</v>
      </c>
      <c r="E87" s="787" t="str">
        <f t="shared" si="2"/>
        <v/>
      </c>
      <c r="F87" s="787" t="str">
        <f t="shared" si="2"/>
        <v/>
      </c>
      <c r="G87" s="765" t="str">
        <f t="shared" si="3"/>
        <v>N.A.</v>
      </c>
      <c r="H87" s="765" t="str">
        <f t="shared" si="3"/>
        <v>N.A.</v>
      </c>
      <c r="I87" s="765" t="str">
        <f t="shared" si="3"/>
        <v>N.A.</v>
      </c>
      <c r="J87" s="765" t="str">
        <f t="shared" si="3"/>
        <v>N.A.</v>
      </c>
      <c r="K87" s="84"/>
    </row>
    <row r="88" spans="2:11" ht="14.1" customHeight="1" thickBot="1">
      <c r="B88" s="869"/>
      <c r="C88" s="857">
        <v>9</v>
      </c>
      <c r="D88" s="787" t="str">
        <f t="shared" si="2"/>
        <v>PMA</v>
      </c>
      <c r="E88" s="787" t="str">
        <f t="shared" si="2"/>
        <v/>
      </c>
      <c r="F88" s="787" t="str">
        <f t="shared" si="2"/>
        <v/>
      </c>
      <c r="G88" s="765" t="str">
        <f t="shared" si="3"/>
        <v>N.A.</v>
      </c>
      <c r="H88" s="765" t="str">
        <f t="shared" si="3"/>
        <v>N.A.</v>
      </c>
      <c r="I88" s="765" t="str">
        <f t="shared" si="3"/>
        <v>N.A.</v>
      </c>
      <c r="J88" s="765" t="str">
        <f t="shared" si="3"/>
        <v>N.A.</v>
      </c>
      <c r="K88" s="84"/>
    </row>
    <row r="89" spans="2:11" ht="14.1" customHeight="1" thickBot="1">
      <c r="B89" s="869"/>
      <c r="C89" s="857">
        <v>10</v>
      </c>
      <c r="D89" s="787" t="str">
        <f t="shared" si="2"/>
        <v>POMCA</v>
      </c>
      <c r="E89" s="787" t="str">
        <f t="shared" si="2"/>
        <v/>
      </c>
      <c r="F89" s="787" t="str">
        <f t="shared" si="2"/>
        <v/>
      </c>
      <c r="G89" s="765" t="str">
        <f t="shared" si="3"/>
        <v>N.A.</v>
      </c>
      <c r="H89" s="765" t="str">
        <f t="shared" si="3"/>
        <v>N.A.</v>
      </c>
      <c r="I89" s="765" t="str">
        <f t="shared" si="3"/>
        <v>N.A.</v>
      </c>
      <c r="J89" s="765" t="str">
        <f t="shared" si="3"/>
        <v>N.A.</v>
      </c>
      <c r="K89" s="85"/>
    </row>
    <row r="90" spans="2:11" ht="14.1" customHeight="1" thickBot="1">
      <c r="B90" s="869"/>
      <c r="C90" s="857">
        <v>11</v>
      </c>
      <c r="D90" s="787" t="str">
        <f t="shared" si="2"/>
        <v>POMCA</v>
      </c>
      <c r="E90" s="787" t="str">
        <f t="shared" si="2"/>
        <v/>
      </c>
      <c r="F90" s="787" t="str">
        <f t="shared" si="2"/>
        <v/>
      </c>
      <c r="G90" s="765" t="str">
        <f t="shared" si="3"/>
        <v>N.A.</v>
      </c>
      <c r="H90" s="765" t="str">
        <f t="shared" si="3"/>
        <v>N.A.</v>
      </c>
      <c r="I90" s="765" t="str">
        <f t="shared" si="3"/>
        <v>N.A.</v>
      </c>
      <c r="J90" s="765" t="str">
        <f t="shared" si="3"/>
        <v>N.A.</v>
      </c>
      <c r="K90" s="84"/>
    </row>
    <row r="91" spans="2:11" ht="14.1" customHeight="1" thickBot="1">
      <c r="B91" s="869"/>
      <c r="C91" s="857">
        <v>12</v>
      </c>
      <c r="D91" s="787" t="str">
        <f t="shared" si="2"/>
        <v>PMA</v>
      </c>
      <c r="E91" s="787" t="str">
        <f t="shared" si="2"/>
        <v/>
      </c>
      <c r="F91" s="787" t="str">
        <f t="shared" si="2"/>
        <v/>
      </c>
      <c r="G91" s="765" t="str">
        <f t="shared" si="3"/>
        <v>N.A.</v>
      </c>
      <c r="H91" s="765" t="str">
        <f t="shared" si="3"/>
        <v>N.A.</v>
      </c>
      <c r="I91" s="765" t="str">
        <f t="shared" si="3"/>
        <v>N.A.</v>
      </c>
      <c r="J91" s="765" t="str">
        <f t="shared" si="3"/>
        <v>N.A.</v>
      </c>
      <c r="K91" s="84"/>
    </row>
    <row r="92" spans="2:11" ht="14.1" customHeight="1" thickBot="1">
      <c r="B92" s="869"/>
      <c r="C92" s="857">
        <v>13</v>
      </c>
      <c r="D92" s="787" t="str">
        <f t="shared" si="2"/>
        <v>PMA</v>
      </c>
      <c r="E92" s="787" t="str">
        <f t="shared" si="2"/>
        <v/>
      </c>
      <c r="F92" s="787" t="str">
        <f t="shared" si="2"/>
        <v/>
      </c>
      <c r="G92" s="765" t="str">
        <f t="shared" si="3"/>
        <v>N.A.</v>
      </c>
      <c r="H92" s="765" t="str">
        <f t="shared" si="3"/>
        <v>N.A.</v>
      </c>
      <c r="I92" s="765" t="str">
        <f t="shared" si="3"/>
        <v>N.A.</v>
      </c>
      <c r="J92" s="765" t="str">
        <f t="shared" si="3"/>
        <v>N.A.</v>
      </c>
      <c r="K92" s="84"/>
    </row>
    <row r="93" spans="2:11" ht="14.1" customHeight="1" thickBot="1">
      <c r="B93" s="869"/>
      <c r="C93" s="857">
        <v>14</v>
      </c>
      <c r="D93" s="787" t="str">
        <f t="shared" si="2"/>
        <v>PMM</v>
      </c>
      <c r="E93" s="787" t="str">
        <f t="shared" si="2"/>
        <v/>
      </c>
      <c r="F93" s="787" t="str">
        <f t="shared" si="2"/>
        <v/>
      </c>
      <c r="G93" s="765" t="str">
        <f t="shared" si="3"/>
        <v>N.A.</v>
      </c>
      <c r="H93" s="765" t="str">
        <f t="shared" si="3"/>
        <v>N.A.</v>
      </c>
      <c r="I93" s="765" t="str">
        <f t="shared" si="3"/>
        <v>N.A.</v>
      </c>
      <c r="J93" s="765" t="str">
        <f t="shared" si="3"/>
        <v>N.A.</v>
      </c>
      <c r="K93" s="85"/>
    </row>
    <row r="94" spans="2:11" ht="14.1" customHeight="1">
      <c r="B94" s="869"/>
      <c r="C94" s="75"/>
      <c r="D94" s="1021"/>
      <c r="E94" s="1022"/>
      <c r="F94" s="1022"/>
      <c r="G94" s="1022"/>
      <c r="H94" s="1022"/>
      <c r="I94" s="1022"/>
      <c r="J94" s="1022"/>
      <c r="K94" s="1023"/>
    </row>
    <row r="95" spans="2:11" ht="14.1" customHeight="1" thickBot="1">
      <c r="B95" s="869"/>
      <c r="C95" s="75"/>
      <c r="D95" s="1006" t="s">
        <v>1498</v>
      </c>
      <c r="E95" s="1007"/>
      <c r="F95" s="1007"/>
      <c r="G95" s="1007"/>
      <c r="H95" s="1007"/>
      <c r="I95" s="1007"/>
      <c r="J95" s="1007"/>
      <c r="K95" s="1008"/>
    </row>
    <row r="96" spans="2:11" ht="14.1" customHeight="1" thickBot="1">
      <c r="B96" s="869"/>
      <c r="C96" s="788" t="s">
        <v>1402</v>
      </c>
      <c r="D96" s="876" t="s">
        <v>1499</v>
      </c>
      <c r="E96" s="876" t="s">
        <v>1500</v>
      </c>
      <c r="F96" s="876"/>
      <c r="G96" s="876" t="s">
        <v>1487</v>
      </c>
      <c r="H96" s="876" t="s">
        <v>1488</v>
      </c>
      <c r="I96" s="876" t="s">
        <v>1489</v>
      </c>
      <c r="J96" s="876" t="s">
        <v>1490</v>
      </c>
      <c r="K96" s="83"/>
    </row>
    <row r="97" spans="2:11" ht="14.1" customHeight="1" thickBot="1">
      <c r="B97" s="869"/>
      <c r="C97" s="855">
        <v>1</v>
      </c>
      <c r="D97" s="33" t="s">
        <v>1501</v>
      </c>
      <c r="E97" s="26">
        <v>0.7</v>
      </c>
      <c r="F97" s="789"/>
      <c r="G97" s="116">
        <f ca="1">IFERROR(AVERAGEIF($D$80:$J$93,"POMCA",G$80:G$93),0)</f>
        <v>0.98</v>
      </c>
      <c r="H97" s="116">
        <f ca="1">IFERROR(AVERAGEIF($D$80:$J$93,"POMCA",H$80:H$93),0)</f>
        <v>0</v>
      </c>
      <c r="I97" s="116">
        <f ca="1">IFERROR(AVERAGEIF($D$80:$J$93,"POMCA",I$80:I$93),0)</f>
        <v>0</v>
      </c>
      <c r="J97" s="116">
        <f ca="1">IFERROR(AVERAGEIF($D$80:$J$93,"POMCA",J$80:J$93),0)</f>
        <v>0</v>
      </c>
      <c r="K97" s="81"/>
    </row>
    <row r="98" spans="2:11" ht="14.1" customHeight="1" thickBot="1">
      <c r="B98" s="869"/>
      <c r="C98" s="855">
        <v>2</v>
      </c>
      <c r="D98" s="33" t="s">
        <v>1478</v>
      </c>
      <c r="E98" s="26">
        <v>0.3</v>
      </c>
      <c r="F98" s="789"/>
      <c r="G98" s="116">
        <f ca="1">IFERROR(AVERAGEIF($D$80:$J$93,"PMA",G$80:G$93),0)</f>
        <v>0</v>
      </c>
      <c r="H98" s="116">
        <f ca="1">IFERROR(AVERAGEIF($D$80:$J$93,"PMA",H$80:H$93),0)</f>
        <v>0</v>
      </c>
      <c r="I98" s="116">
        <f ca="1">IFERROR(AVERAGEIF($D$80:$J$93,"PMA",I$80:I$93),0)</f>
        <v>0</v>
      </c>
      <c r="J98" s="116">
        <f ca="1">IFERROR(AVERAGEIF($D$80:$J$93,"PMA",J$80:J$93),0)</f>
        <v>0</v>
      </c>
      <c r="K98" s="81"/>
    </row>
    <row r="99" spans="2:11" ht="14.1" customHeight="1" thickBot="1">
      <c r="B99" s="869"/>
      <c r="C99" s="855">
        <v>3</v>
      </c>
      <c r="D99" s="33" t="s">
        <v>1481</v>
      </c>
      <c r="E99" s="26"/>
      <c r="F99" s="789"/>
      <c r="G99" s="116">
        <f ca="1">IFERROR(AVERAGEIF($D$80:$J$93,"PMM",G$80:G$93),0)</f>
        <v>0</v>
      </c>
      <c r="H99" s="116">
        <f ca="1">IFERROR(AVERAGEIF($D$80:$J$93,"PMM",H$80:H$93),0)</f>
        <v>0</v>
      </c>
      <c r="I99" s="116">
        <f ca="1">IFERROR(AVERAGEIF($D$80:$J$93,"PMM",I$80:I$93),0)</f>
        <v>0</v>
      </c>
      <c r="J99" s="116">
        <f ca="1">IFERROR(AVERAGEIF($D$80:$J$93,"PMM",J$80:J$93),0)</f>
        <v>0</v>
      </c>
      <c r="K99" s="81"/>
    </row>
    <row r="100" spans="2:11" ht="14.1" customHeight="1" thickBot="1">
      <c r="B100" s="869"/>
      <c r="D100" s="1036" t="str">
        <f>[1]Formulas!$D$5</f>
        <v>ERROR: LA SUMA DE LA COLUMNA DEBE SER 100%</v>
      </c>
      <c r="E100" s="1037"/>
      <c r="F100" s="790" t="s">
        <v>1502</v>
      </c>
      <c r="G100" s="791" t="str">
        <f>[1]Formulas!E5</f>
        <v>N.A.</v>
      </c>
      <c r="H100" s="791" t="str">
        <f>[1]Formulas!F5</f>
        <v>N.A.</v>
      </c>
      <c r="I100" s="791" t="str">
        <f>[1]Formulas!G5</f>
        <v>N.A.</v>
      </c>
      <c r="J100" s="791" t="str">
        <f>[1]Formulas!H5</f>
        <v>N.A.</v>
      </c>
      <c r="K100" s="82"/>
    </row>
    <row r="101" spans="2:11" ht="14.1" customHeight="1">
      <c r="B101" s="869"/>
      <c r="C101" s="75"/>
      <c r="D101" s="1038"/>
      <c r="E101" s="1039"/>
      <c r="F101" s="1039"/>
      <c r="G101" s="1039"/>
      <c r="H101" s="1039"/>
      <c r="I101" s="1039"/>
      <c r="J101" s="1039"/>
      <c r="K101" s="1040"/>
    </row>
    <row r="102" spans="2:11" ht="14.1" customHeight="1">
      <c r="B102" s="869"/>
      <c r="C102" s="75"/>
      <c r="D102" s="1015" t="s">
        <v>1503</v>
      </c>
      <c r="E102" s="1016"/>
      <c r="F102" s="1016"/>
      <c r="G102" s="1016"/>
      <c r="H102" s="1016"/>
      <c r="I102" s="1016"/>
      <c r="J102" s="1016"/>
      <c r="K102" s="1017"/>
    </row>
    <row r="103" spans="2:11" ht="14.1" customHeight="1" thickBot="1">
      <c r="B103" s="867"/>
      <c r="C103" s="77"/>
      <c r="D103" s="843"/>
      <c r="E103" s="844"/>
      <c r="F103" s="844"/>
      <c r="G103" s="844"/>
      <c r="H103" s="844"/>
      <c r="I103" s="844"/>
      <c r="J103" s="844"/>
      <c r="K103" s="845"/>
    </row>
    <row r="104" spans="2:11" ht="14.1" customHeight="1" thickBot="1">
      <c r="B104" s="867" t="s">
        <v>1504</v>
      </c>
      <c r="C104" s="77"/>
      <c r="D104" s="1041" t="s">
        <v>1505</v>
      </c>
      <c r="E104" s="1042"/>
      <c r="F104" s="1042"/>
      <c r="G104" s="1042"/>
      <c r="H104" s="1042"/>
      <c r="I104" s="1042"/>
      <c r="J104" s="1042"/>
      <c r="K104" s="1043"/>
    </row>
    <row r="105" spans="2:11" ht="39" customHeight="1" thickBot="1">
      <c r="B105" s="867" t="s">
        <v>1506</v>
      </c>
      <c r="C105" s="77"/>
      <c r="D105" s="1041" t="s">
        <v>1507</v>
      </c>
      <c r="E105" s="1042"/>
      <c r="F105" s="1042"/>
      <c r="G105" s="1042"/>
      <c r="H105" s="1042"/>
      <c r="I105" s="1042"/>
      <c r="J105" s="1042"/>
      <c r="K105" s="1043"/>
    </row>
    <row r="106" spans="2:11" ht="15.75" thickBot="1">
      <c r="B106" s="1"/>
      <c r="C106" s="55"/>
      <c r="D106" s="4"/>
      <c r="E106" s="4"/>
      <c r="F106" s="4"/>
      <c r="G106" s="4"/>
      <c r="H106" s="4"/>
      <c r="I106" s="4"/>
      <c r="J106" s="4"/>
      <c r="K106" s="4"/>
    </row>
    <row r="107" spans="2:11" ht="24" customHeight="1" thickBot="1">
      <c r="B107" s="1029" t="s">
        <v>1508</v>
      </c>
      <c r="C107" s="1030"/>
      <c r="D107" s="1030"/>
      <c r="E107" s="1031"/>
      <c r="F107" s="4"/>
      <c r="G107" s="4"/>
      <c r="H107" s="4"/>
      <c r="I107" s="4"/>
      <c r="J107" s="4"/>
      <c r="K107" s="4"/>
    </row>
    <row r="108" spans="2:11" ht="15.75" thickBot="1">
      <c r="B108" s="1032">
        <v>1</v>
      </c>
      <c r="C108" s="890"/>
      <c r="D108" s="37" t="s">
        <v>1509</v>
      </c>
      <c r="E108" s="121" t="s">
        <v>1510</v>
      </c>
      <c r="F108" s="4"/>
      <c r="G108" s="4"/>
      <c r="H108" s="4"/>
      <c r="I108" s="4"/>
      <c r="J108" s="4"/>
      <c r="K108" s="4"/>
    </row>
    <row r="109" spans="2:11" ht="24.75" thickBot="1">
      <c r="B109" s="1033"/>
      <c r="C109" s="890"/>
      <c r="D109" s="845" t="s">
        <v>10</v>
      </c>
      <c r="E109" s="275" t="s">
        <v>1511</v>
      </c>
      <c r="F109" s="4"/>
      <c r="G109" s="4"/>
      <c r="H109" s="4"/>
      <c r="I109" s="4"/>
      <c r="J109" s="4"/>
      <c r="K109" s="4"/>
    </row>
    <row r="110" spans="2:11" ht="15.75" thickBot="1">
      <c r="B110" s="1033"/>
      <c r="C110" s="890"/>
      <c r="D110" s="845" t="s">
        <v>1512</v>
      </c>
      <c r="E110" s="121" t="s">
        <v>1513</v>
      </c>
      <c r="F110" s="4"/>
      <c r="G110" s="4"/>
      <c r="H110" s="4"/>
      <c r="I110" s="4"/>
      <c r="J110" s="4"/>
      <c r="K110" s="4"/>
    </row>
    <row r="111" spans="2:11" ht="15.75" thickBot="1">
      <c r="B111" s="1033"/>
      <c r="C111" s="890"/>
      <c r="D111" s="845" t="s">
        <v>13</v>
      </c>
      <c r="E111" s="121" t="s">
        <v>1514</v>
      </c>
      <c r="F111" s="4"/>
      <c r="G111" s="4"/>
      <c r="H111" s="4"/>
      <c r="I111" s="4"/>
      <c r="J111" s="4"/>
      <c r="K111" s="4"/>
    </row>
    <row r="112" spans="2:11" ht="45.75" thickBot="1">
      <c r="B112" s="1033"/>
      <c r="C112" s="890"/>
      <c r="D112" s="845" t="s">
        <v>16</v>
      </c>
      <c r="E112" s="709" t="s">
        <v>1515</v>
      </c>
      <c r="F112" s="4"/>
      <c r="G112" s="4"/>
      <c r="H112" s="4"/>
      <c r="I112" s="4"/>
      <c r="J112" s="4"/>
      <c r="K112" s="4"/>
    </row>
    <row r="113" spans="2:11" ht="15.75" thickBot="1">
      <c r="B113" s="1033"/>
      <c r="C113" s="890"/>
      <c r="D113" s="845" t="s">
        <v>19</v>
      </c>
      <c r="E113" s="121">
        <v>3686626</v>
      </c>
      <c r="F113" s="4"/>
      <c r="G113" s="4"/>
      <c r="H113" s="4"/>
      <c r="I113" s="4"/>
      <c r="J113" s="4"/>
      <c r="K113" s="4"/>
    </row>
    <row r="114" spans="2:11" ht="24.75" thickBot="1">
      <c r="B114" s="1034"/>
      <c r="C114" s="857"/>
      <c r="D114" s="845" t="s">
        <v>1516</v>
      </c>
      <c r="E114" s="275" t="s">
        <v>1517</v>
      </c>
      <c r="F114" s="4"/>
      <c r="G114" s="4"/>
      <c r="H114" s="4"/>
      <c r="I114" s="4"/>
      <c r="J114" s="4"/>
      <c r="K114" s="4"/>
    </row>
    <row r="115" spans="2:11" ht="15.75" thickBot="1">
      <c r="B115" s="1"/>
      <c r="C115" s="55"/>
      <c r="D115" s="4"/>
      <c r="E115" s="4"/>
      <c r="F115" s="4"/>
      <c r="G115" s="4"/>
      <c r="H115" s="4"/>
      <c r="I115" s="4"/>
      <c r="J115" s="4"/>
      <c r="K115" s="4"/>
    </row>
    <row r="116" spans="2:11" ht="15" customHeight="1" thickBot="1">
      <c r="B116" s="1029" t="s">
        <v>1518</v>
      </c>
      <c r="C116" s="1030"/>
      <c r="D116" s="1030"/>
      <c r="E116" s="1031"/>
      <c r="F116" s="4"/>
      <c r="G116" s="4"/>
      <c r="H116" s="4"/>
      <c r="I116" s="4"/>
      <c r="J116" s="4"/>
      <c r="K116" s="4"/>
    </row>
    <row r="117" spans="2:11" ht="15.75" thickBot="1">
      <c r="B117" s="1032">
        <v>1</v>
      </c>
      <c r="C117" s="890"/>
      <c r="D117" s="37" t="s">
        <v>1509</v>
      </c>
      <c r="E117" s="28" t="s">
        <v>1519</v>
      </c>
      <c r="F117" s="4"/>
      <c r="G117" s="4"/>
      <c r="H117" s="4"/>
      <c r="I117" s="4"/>
      <c r="J117" s="4"/>
      <c r="K117" s="4"/>
    </row>
    <row r="118" spans="2:11" ht="15.75" thickBot="1">
      <c r="B118" s="1033"/>
      <c r="C118" s="890"/>
      <c r="D118" s="845" t="s">
        <v>10</v>
      </c>
      <c r="E118" s="28" t="s">
        <v>1520</v>
      </c>
      <c r="F118" s="4"/>
      <c r="G118" s="4"/>
      <c r="H118" s="4"/>
      <c r="I118" s="4"/>
      <c r="J118" s="4"/>
      <c r="K118" s="4"/>
    </row>
    <row r="119" spans="2:11" ht="15.75" thickBot="1">
      <c r="B119" s="1033"/>
      <c r="C119" s="890"/>
      <c r="D119" s="845" t="s">
        <v>1512</v>
      </c>
      <c r="E119" s="126"/>
      <c r="F119" s="4"/>
      <c r="G119" s="4"/>
      <c r="H119" s="4"/>
      <c r="I119" s="4"/>
      <c r="J119" s="4"/>
      <c r="K119" s="4"/>
    </row>
    <row r="120" spans="2:11" ht="15.75" thickBot="1">
      <c r="B120" s="1033"/>
      <c r="C120" s="890"/>
      <c r="D120" s="845" t="s">
        <v>13</v>
      </c>
      <c r="E120" s="126"/>
      <c r="F120" s="4"/>
      <c r="G120" s="4"/>
      <c r="H120" s="4"/>
      <c r="I120" s="4"/>
      <c r="J120" s="4"/>
      <c r="K120" s="4"/>
    </row>
    <row r="121" spans="2:11" ht="15.75" thickBot="1">
      <c r="B121" s="1033"/>
      <c r="C121" s="890"/>
      <c r="D121" s="845" t="s">
        <v>16</v>
      </c>
      <c r="E121" s="126"/>
      <c r="F121" s="4"/>
      <c r="G121" s="4"/>
      <c r="H121" s="4"/>
      <c r="I121" s="4"/>
      <c r="J121" s="4"/>
      <c r="K121" s="4"/>
    </row>
    <row r="122" spans="2:11" ht="15.75" thickBot="1">
      <c r="B122" s="1033"/>
      <c r="C122" s="890"/>
      <c r="D122" s="845" t="s">
        <v>19</v>
      </c>
      <c r="E122" s="126"/>
      <c r="F122" s="4"/>
      <c r="G122" s="4"/>
      <c r="H122" s="4"/>
      <c r="I122" s="4"/>
      <c r="J122" s="4"/>
      <c r="K122" s="4"/>
    </row>
    <row r="123" spans="2:11" ht="15.75" thickBot="1">
      <c r="B123" s="1034"/>
      <c r="C123" s="857"/>
      <c r="D123" s="845" t="s">
        <v>1516</v>
      </c>
      <c r="E123" s="126"/>
      <c r="F123" s="4"/>
      <c r="G123" s="4"/>
      <c r="H123" s="4"/>
      <c r="I123" s="4"/>
      <c r="J123" s="4"/>
      <c r="K123" s="4"/>
    </row>
    <row r="124" spans="2:11" ht="15.75" thickBot="1">
      <c r="B124" s="1"/>
      <c r="C124" s="55"/>
      <c r="D124" s="4"/>
      <c r="E124" s="4"/>
      <c r="F124" s="4"/>
      <c r="G124" s="4"/>
      <c r="H124" s="4"/>
      <c r="I124" s="4"/>
      <c r="J124" s="4"/>
      <c r="K124" s="4"/>
    </row>
    <row r="125" spans="2:11" ht="15" customHeight="1" thickBot="1">
      <c r="B125" s="88" t="s">
        <v>1521</v>
      </c>
      <c r="C125" s="89"/>
      <c r="D125" s="89"/>
      <c r="E125" s="792"/>
      <c r="G125" s="4"/>
      <c r="H125" s="4"/>
      <c r="I125" s="4"/>
      <c r="J125" s="4"/>
      <c r="K125" s="4"/>
    </row>
    <row r="126" spans="2:11" ht="24.75" thickBot="1">
      <c r="B126" s="839" t="s">
        <v>1522</v>
      </c>
      <c r="C126" s="845" t="s">
        <v>1523</v>
      </c>
      <c r="D126" s="844" t="s">
        <v>1524</v>
      </c>
      <c r="E126" s="213" t="s">
        <v>1525</v>
      </c>
      <c r="F126" s="4"/>
      <c r="G126" s="4"/>
      <c r="H126" s="4"/>
      <c r="I126" s="4"/>
      <c r="J126" s="4"/>
    </row>
    <row r="127" spans="2:11" ht="96.75" thickBot="1">
      <c r="B127" s="38">
        <v>42401</v>
      </c>
      <c r="C127" s="845">
        <v>1</v>
      </c>
      <c r="D127" s="830" t="s">
        <v>1526</v>
      </c>
      <c r="E127" s="845"/>
      <c r="F127" s="4"/>
      <c r="G127" s="4"/>
      <c r="H127" s="4"/>
      <c r="I127" s="4"/>
      <c r="J127" s="4"/>
    </row>
    <row r="128" spans="2:11" ht="15.75" thickBot="1">
      <c r="B128" s="2"/>
      <c r="C128" s="70"/>
      <c r="D128" s="4"/>
      <c r="E128" s="4"/>
      <c r="F128" s="4"/>
      <c r="G128" s="4"/>
      <c r="H128" s="4"/>
      <c r="I128" s="4"/>
      <c r="J128" s="4"/>
      <c r="K128" s="4"/>
    </row>
    <row r="129" spans="2:11">
      <c r="B129" s="879" t="s">
        <v>1406</v>
      </c>
      <c r="C129" s="705"/>
      <c r="D129" s="4"/>
      <c r="E129" s="4"/>
      <c r="F129" s="4"/>
      <c r="G129" s="4"/>
      <c r="H129" s="4"/>
      <c r="I129" s="4"/>
      <c r="J129" s="4"/>
      <c r="K129" s="4"/>
    </row>
    <row r="130" spans="2:11">
      <c r="B130" s="1035"/>
      <c r="C130" s="1035"/>
      <c r="D130" s="1035"/>
      <c r="E130" s="1035"/>
      <c r="F130" s="1035"/>
      <c r="G130" s="4"/>
      <c r="H130" s="4"/>
      <c r="I130" s="4"/>
      <c r="J130" s="4"/>
      <c r="K130" s="4"/>
    </row>
    <row r="131" spans="2:11" ht="44.1" customHeight="1">
      <c r="B131" s="1035"/>
      <c r="C131" s="1035"/>
      <c r="D131" s="1035"/>
      <c r="E131" s="1035"/>
      <c r="F131" s="1035"/>
      <c r="G131" s="4"/>
      <c r="H131" s="4"/>
      <c r="I131" s="4"/>
      <c r="J131" s="4"/>
      <c r="K131" s="4"/>
    </row>
    <row r="132" spans="2:11">
      <c r="B132" s="1"/>
      <c r="C132" s="55"/>
      <c r="D132" s="4"/>
      <c r="E132" s="4"/>
      <c r="F132" s="4"/>
      <c r="G132" s="4"/>
      <c r="H132" s="4"/>
      <c r="I132" s="4"/>
      <c r="J132" s="4"/>
      <c r="K132" s="4"/>
    </row>
    <row r="133" spans="2:11" ht="15.75" thickBot="1">
      <c r="B133" s="31"/>
      <c r="C133" s="64"/>
      <c r="D133" s="4"/>
      <c r="E133" s="4"/>
      <c r="F133" s="4"/>
      <c r="G133" s="4"/>
      <c r="H133" s="4"/>
      <c r="I133" s="4"/>
      <c r="J133" s="4"/>
      <c r="K133" s="4"/>
    </row>
    <row r="134" spans="2:11" ht="15.75" thickBot="1">
      <c r="B134" s="793" t="s">
        <v>1527</v>
      </c>
      <c r="C134" s="708"/>
      <c r="D134" s="4"/>
      <c r="E134" s="4"/>
      <c r="F134" s="4"/>
      <c r="G134" s="4"/>
      <c r="H134" s="4"/>
      <c r="I134" s="4"/>
      <c r="J134" s="4"/>
      <c r="K134" s="4"/>
    </row>
    <row r="135" spans="2:11" ht="15.75" thickBot="1">
      <c r="B135" s="31"/>
      <c r="C135" s="64"/>
      <c r="D135" s="4"/>
      <c r="E135" s="4"/>
      <c r="F135" s="4"/>
      <c r="G135" s="4"/>
      <c r="H135" s="4"/>
      <c r="I135" s="4"/>
      <c r="J135" s="4"/>
      <c r="K135" s="4"/>
    </row>
    <row r="136" spans="2:11" ht="15.75" thickBot="1">
      <c r="B136" s="40" t="s">
        <v>1528</v>
      </c>
      <c r="C136" s="877"/>
      <c r="D136" s="1041" t="s">
        <v>1529</v>
      </c>
      <c r="E136" s="1042"/>
      <c r="F136" s="1043"/>
      <c r="G136" s="4"/>
      <c r="H136" s="4"/>
      <c r="I136" s="4"/>
      <c r="J136" s="4"/>
      <c r="K136" s="4"/>
    </row>
    <row r="137" spans="2:11">
      <c r="B137" s="1032" t="s">
        <v>1530</v>
      </c>
      <c r="C137" s="65"/>
      <c r="D137" s="1021" t="s">
        <v>1531</v>
      </c>
      <c r="E137" s="1022"/>
      <c r="F137" s="1023"/>
      <c r="G137" s="4"/>
      <c r="H137" s="4"/>
      <c r="I137" s="4"/>
      <c r="J137" s="4"/>
      <c r="K137" s="4"/>
    </row>
    <row r="138" spans="2:11">
      <c r="B138" s="1033"/>
      <c r="C138" s="68"/>
      <c r="D138" s="1015" t="s">
        <v>1532</v>
      </c>
      <c r="E138" s="1016"/>
      <c r="F138" s="1017"/>
      <c r="G138" s="4"/>
      <c r="H138" s="4"/>
      <c r="I138" s="4"/>
      <c r="J138" s="4"/>
      <c r="K138" s="4"/>
    </row>
    <row r="139" spans="2:11">
      <c r="B139" s="1033"/>
      <c r="C139" s="68"/>
      <c r="D139" s="1015" t="s">
        <v>1533</v>
      </c>
      <c r="E139" s="1016"/>
      <c r="F139" s="1017"/>
      <c r="G139" s="4"/>
      <c r="H139" s="4"/>
      <c r="I139" s="4"/>
      <c r="J139" s="4"/>
      <c r="K139" s="4"/>
    </row>
    <row r="140" spans="2:11">
      <c r="B140" s="1033"/>
      <c r="C140" s="68"/>
      <c r="D140" s="1012" t="s">
        <v>1534</v>
      </c>
      <c r="E140" s="1013"/>
      <c r="F140" s="1014"/>
      <c r="G140" s="4"/>
      <c r="H140" s="4"/>
      <c r="I140" s="4"/>
      <c r="J140" s="4"/>
      <c r="K140" s="4"/>
    </row>
    <row r="141" spans="2:11">
      <c r="B141" s="1033"/>
      <c r="C141" s="68"/>
      <c r="D141" s="1015" t="s">
        <v>1535</v>
      </c>
      <c r="E141" s="1016"/>
      <c r="F141" s="1017"/>
      <c r="G141" s="4"/>
      <c r="H141" s="4"/>
      <c r="I141" s="4"/>
      <c r="J141" s="4"/>
      <c r="K141" s="4"/>
    </row>
    <row r="142" spans="2:11">
      <c r="B142" s="1033"/>
      <c r="C142" s="68"/>
      <c r="D142" s="1015" t="s">
        <v>1536</v>
      </c>
      <c r="E142" s="1016"/>
      <c r="F142" s="1017"/>
      <c r="G142" s="4"/>
      <c r="H142" s="4"/>
      <c r="I142" s="4"/>
      <c r="J142" s="4"/>
      <c r="K142" s="4"/>
    </row>
    <row r="143" spans="2:11">
      <c r="B143" s="1033"/>
      <c r="C143" s="68"/>
      <c r="D143" s="1015" t="s">
        <v>1537</v>
      </c>
      <c r="E143" s="1016"/>
      <c r="F143" s="1017"/>
      <c r="G143" s="4"/>
      <c r="H143" s="4"/>
      <c r="I143" s="4"/>
      <c r="J143" s="4"/>
      <c r="K143" s="4"/>
    </row>
    <row r="144" spans="2:11">
      <c r="B144" s="1033"/>
      <c r="C144" s="68"/>
      <c r="D144" s="1015" t="s">
        <v>1538</v>
      </c>
      <c r="E144" s="1016"/>
      <c r="F144" s="1017"/>
      <c r="G144" s="4"/>
      <c r="H144" s="4"/>
      <c r="I144" s="4"/>
      <c r="J144" s="4"/>
      <c r="K144" s="4"/>
    </row>
    <row r="145" spans="2:11">
      <c r="B145" s="1033"/>
      <c r="C145" s="68"/>
      <c r="D145" s="1012" t="s">
        <v>1539</v>
      </c>
      <c r="E145" s="1013"/>
      <c r="F145" s="1014"/>
      <c r="G145" s="4"/>
      <c r="H145" s="4"/>
      <c r="I145" s="4"/>
      <c r="J145" s="4"/>
      <c r="K145" s="4"/>
    </row>
    <row r="146" spans="2:11">
      <c r="B146" s="1033"/>
      <c r="C146" s="68"/>
      <c r="D146" s="1015" t="s">
        <v>1540</v>
      </c>
      <c r="E146" s="1016"/>
      <c r="F146" s="1017"/>
      <c r="G146" s="4"/>
      <c r="H146" s="4"/>
      <c r="I146" s="4"/>
      <c r="J146" s="4"/>
      <c r="K146" s="4"/>
    </row>
    <row r="147" spans="2:11">
      <c r="B147" s="1033"/>
      <c r="C147" s="68"/>
      <c r="D147" s="1015" t="s">
        <v>1541</v>
      </c>
      <c r="E147" s="1016"/>
      <c r="F147" s="1017"/>
      <c r="G147" s="4"/>
      <c r="H147" s="4"/>
      <c r="I147" s="4"/>
      <c r="J147" s="4"/>
      <c r="K147" s="4"/>
    </row>
    <row r="148" spans="2:11" ht="15.75" thickBot="1">
      <c r="B148" s="1034"/>
      <c r="C148" s="69"/>
      <c r="D148" s="1044" t="s">
        <v>1542</v>
      </c>
      <c r="E148" s="1045"/>
      <c r="F148" s="1046"/>
      <c r="G148" s="4"/>
      <c r="H148" s="4"/>
      <c r="I148" s="4"/>
      <c r="J148" s="4"/>
      <c r="K148" s="4"/>
    </row>
    <row r="149" spans="2:11" ht="24.75" thickBot="1">
      <c r="B149" s="839" t="s">
        <v>1543</v>
      </c>
      <c r="C149" s="69"/>
      <c r="D149" s="1041"/>
      <c r="E149" s="1042"/>
      <c r="F149" s="1043"/>
      <c r="G149" s="4"/>
      <c r="H149" s="4"/>
      <c r="I149" s="4"/>
      <c r="J149" s="4"/>
      <c r="K149" s="4"/>
    </row>
    <row r="150" spans="2:11">
      <c r="B150" s="1032" t="s">
        <v>1544</v>
      </c>
      <c r="C150" s="65"/>
      <c r="D150" s="1009" t="s">
        <v>1545</v>
      </c>
      <c r="E150" s="1010"/>
      <c r="F150" s="1011"/>
      <c r="G150" s="4"/>
      <c r="H150" s="4"/>
      <c r="I150" s="4"/>
      <c r="J150" s="4"/>
      <c r="K150" s="4"/>
    </row>
    <row r="151" spans="2:11">
      <c r="B151" s="1033"/>
      <c r="C151" s="68"/>
      <c r="D151" s="1012" t="s">
        <v>1546</v>
      </c>
      <c r="E151" s="1013"/>
      <c r="F151" s="1014"/>
      <c r="G151" s="4"/>
      <c r="H151" s="4"/>
      <c r="I151" s="4"/>
      <c r="J151" s="4"/>
      <c r="K151" s="4"/>
    </row>
    <row r="152" spans="2:11">
      <c r="B152" s="1033"/>
      <c r="C152" s="68"/>
      <c r="D152" s="1015" t="s">
        <v>1547</v>
      </c>
      <c r="E152" s="1016"/>
      <c r="F152" s="1017"/>
      <c r="G152" s="4"/>
      <c r="H152" s="4"/>
      <c r="I152" s="4"/>
      <c r="J152" s="4"/>
      <c r="K152" s="4"/>
    </row>
    <row r="153" spans="2:11">
      <c r="B153" s="1033"/>
      <c r="C153" s="68"/>
      <c r="D153" s="1015" t="s">
        <v>1548</v>
      </c>
      <c r="E153" s="1016"/>
      <c r="F153" s="1017"/>
      <c r="G153" s="4"/>
      <c r="H153" s="4"/>
      <c r="I153" s="4"/>
      <c r="J153" s="4"/>
      <c r="K153" s="4"/>
    </row>
    <row r="154" spans="2:11">
      <c r="B154" s="1033"/>
      <c r="C154" s="68"/>
      <c r="D154" s="1015" t="s">
        <v>1549</v>
      </c>
      <c r="E154" s="1016"/>
      <c r="F154" s="1017"/>
      <c r="G154" s="4"/>
      <c r="H154" s="4"/>
      <c r="I154" s="4"/>
      <c r="J154" s="4"/>
      <c r="K154" s="4"/>
    </row>
    <row r="155" spans="2:11">
      <c r="B155" s="1033"/>
      <c r="C155" s="68"/>
      <c r="D155" s="1015" t="s">
        <v>1550</v>
      </c>
      <c r="E155" s="1016"/>
      <c r="F155" s="1017"/>
      <c r="G155" s="4"/>
      <c r="H155" s="4"/>
      <c r="I155" s="4"/>
      <c r="J155" s="4"/>
      <c r="K155" s="4"/>
    </row>
    <row r="156" spans="2:11">
      <c r="B156" s="1033"/>
      <c r="C156" s="68"/>
      <c r="D156" s="1015" t="s">
        <v>1551</v>
      </c>
      <c r="E156" s="1016"/>
      <c r="F156" s="1017"/>
      <c r="G156" s="4"/>
      <c r="H156" s="4"/>
      <c r="I156" s="4"/>
      <c r="J156" s="4"/>
      <c r="K156" s="4"/>
    </row>
    <row r="157" spans="2:11">
      <c r="B157" s="1033"/>
      <c r="C157" s="68"/>
      <c r="D157" s="1015" t="s">
        <v>1552</v>
      </c>
      <c r="E157" s="1016"/>
      <c r="F157" s="1017"/>
      <c r="G157" s="4"/>
      <c r="H157" s="4"/>
      <c r="I157" s="4"/>
      <c r="J157" s="4"/>
      <c r="K157" s="4"/>
    </row>
    <row r="158" spans="2:11">
      <c r="B158" s="1033"/>
      <c r="C158" s="68"/>
      <c r="D158" s="1012" t="s">
        <v>1553</v>
      </c>
      <c r="E158" s="1013"/>
      <c r="F158" s="1014"/>
      <c r="G158" s="4"/>
      <c r="H158" s="4"/>
      <c r="I158" s="4"/>
      <c r="J158" s="4"/>
      <c r="K158" s="4"/>
    </row>
    <row r="159" spans="2:11">
      <c r="B159" s="1033"/>
      <c r="C159" s="68"/>
      <c r="D159" s="1015" t="s">
        <v>1554</v>
      </c>
      <c r="E159" s="1016"/>
      <c r="F159" s="1017"/>
      <c r="G159" s="4"/>
      <c r="H159" s="4"/>
      <c r="I159" s="4"/>
      <c r="J159" s="4"/>
      <c r="K159" s="4"/>
    </row>
    <row r="160" spans="2:11">
      <c r="B160" s="1033"/>
      <c r="C160" s="68"/>
      <c r="D160" s="1015" t="s">
        <v>1555</v>
      </c>
      <c r="E160" s="1016"/>
      <c r="F160" s="1017"/>
      <c r="G160" s="4"/>
      <c r="H160" s="4"/>
      <c r="I160" s="4"/>
      <c r="J160" s="4"/>
      <c r="K160" s="4"/>
    </row>
    <row r="161" spans="2:11">
      <c r="B161" s="1033"/>
      <c r="C161" s="68"/>
      <c r="D161" s="1015" t="s">
        <v>1556</v>
      </c>
      <c r="E161" s="1016"/>
      <c r="F161" s="1017"/>
      <c r="G161" s="4"/>
      <c r="H161" s="4"/>
      <c r="I161" s="4"/>
      <c r="J161" s="4"/>
      <c r="K161" s="4"/>
    </row>
    <row r="162" spans="2:11">
      <c r="B162" s="1033"/>
      <c r="C162" s="68"/>
      <c r="D162" s="1015" t="s">
        <v>1557</v>
      </c>
      <c r="E162" s="1016"/>
      <c r="F162" s="1017"/>
      <c r="G162" s="4"/>
      <c r="H162" s="4"/>
      <c r="I162" s="4"/>
      <c r="J162" s="4"/>
      <c r="K162" s="4"/>
    </row>
    <row r="163" spans="2:11">
      <c r="B163" s="1033"/>
      <c r="C163" s="68"/>
      <c r="D163" s="1012" t="s">
        <v>1558</v>
      </c>
      <c r="E163" s="1013"/>
      <c r="F163" s="1014"/>
      <c r="G163" s="4"/>
      <c r="H163" s="4"/>
      <c r="I163" s="4"/>
      <c r="J163" s="4"/>
      <c r="K163" s="4"/>
    </row>
    <row r="164" spans="2:11">
      <c r="B164" s="1033"/>
      <c r="C164" s="68"/>
      <c r="D164" s="1015" t="s">
        <v>1559</v>
      </c>
      <c r="E164" s="1016"/>
      <c r="F164" s="1017"/>
      <c r="G164" s="4"/>
      <c r="H164" s="4"/>
      <c r="I164" s="4"/>
      <c r="J164" s="4"/>
      <c r="K164" s="4"/>
    </row>
    <row r="165" spans="2:11">
      <c r="B165" s="1033"/>
      <c r="C165" s="68"/>
      <c r="D165" s="1015" t="s">
        <v>1555</v>
      </c>
      <c r="E165" s="1016"/>
      <c r="F165" s="1017"/>
      <c r="G165" s="4"/>
      <c r="H165" s="4"/>
      <c r="I165" s="4"/>
      <c r="J165" s="4"/>
      <c r="K165" s="4"/>
    </row>
    <row r="166" spans="2:11">
      <c r="B166" s="1033"/>
      <c r="C166" s="68"/>
      <c r="D166" s="1015" t="s">
        <v>1556</v>
      </c>
      <c r="E166" s="1016"/>
      <c r="F166" s="1017"/>
      <c r="G166" s="4"/>
      <c r="H166" s="4"/>
      <c r="I166" s="4"/>
      <c r="J166" s="4"/>
      <c r="K166" s="4"/>
    </row>
    <row r="167" spans="2:11" ht="15.75" thickBot="1">
      <c r="B167" s="1034"/>
      <c r="C167" s="69"/>
      <c r="D167" s="1047" t="s">
        <v>1560</v>
      </c>
      <c r="E167" s="1048"/>
      <c r="F167" s="1049"/>
      <c r="G167" s="4"/>
      <c r="H167" s="4"/>
      <c r="I167" s="4"/>
      <c r="J167" s="4"/>
      <c r="K167" s="4"/>
    </row>
    <row r="168" spans="2:11">
      <c r="B168" s="1032" t="s">
        <v>1561</v>
      </c>
      <c r="C168" s="65"/>
      <c r="D168" s="1009"/>
      <c r="E168" s="1010"/>
      <c r="F168" s="1011"/>
      <c r="G168" s="4"/>
      <c r="H168" s="4"/>
      <c r="I168" s="4"/>
      <c r="J168" s="4"/>
      <c r="K168" s="4"/>
    </row>
    <row r="169" spans="2:11">
      <c r="B169" s="1033"/>
      <c r="C169" s="68"/>
      <c r="D169" s="1050"/>
      <c r="E169" s="1051"/>
      <c r="F169" s="1052"/>
      <c r="G169" s="4"/>
      <c r="H169" s="4"/>
      <c r="I169" s="4"/>
      <c r="J169" s="4"/>
      <c r="K169" s="4"/>
    </row>
    <row r="170" spans="2:11">
      <c r="B170" s="1033"/>
      <c r="C170" s="68"/>
      <c r="D170" s="1015" t="s">
        <v>1562</v>
      </c>
      <c r="E170" s="1016"/>
      <c r="F170" s="1017"/>
      <c r="G170" s="4"/>
      <c r="H170" s="4"/>
      <c r="I170" s="4"/>
      <c r="J170" s="4"/>
      <c r="K170" s="4"/>
    </row>
    <row r="171" spans="2:11">
      <c r="B171" s="1033"/>
      <c r="C171" s="68"/>
      <c r="D171" s="1015" t="s">
        <v>1563</v>
      </c>
      <c r="E171" s="1016"/>
      <c r="F171" s="1017"/>
      <c r="G171" s="4"/>
      <c r="H171" s="4"/>
      <c r="I171" s="4"/>
      <c r="J171" s="4"/>
      <c r="K171" s="4"/>
    </row>
    <row r="172" spans="2:11">
      <c r="B172" s="1033"/>
      <c r="C172" s="68"/>
      <c r="D172" s="1015" t="s">
        <v>1564</v>
      </c>
      <c r="E172" s="1016"/>
      <c r="F172" s="1017"/>
      <c r="G172" s="4"/>
      <c r="H172" s="4"/>
      <c r="I172" s="4"/>
      <c r="J172" s="4"/>
      <c r="K172" s="4"/>
    </row>
    <row r="173" spans="2:11">
      <c r="B173" s="1033"/>
      <c r="C173" s="68"/>
      <c r="D173" s="1015" t="s">
        <v>1565</v>
      </c>
      <c r="E173" s="1016"/>
      <c r="F173" s="1017"/>
      <c r="G173" s="4"/>
      <c r="H173" s="4"/>
      <c r="I173" s="4"/>
      <c r="J173" s="4"/>
      <c r="K173" s="4"/>
    </row>
    <row r="174" spans="2:11">
      <c r="B174" s="1033"/>
      <c r="C174" s="68"/>
      <c r="D174" s="1015" t="s">
        <v>1566</v>
      </c>
      <c r="E174" s="1016"/>
      <c r="F174" s="1017"/>
      <c r="G174" s="4"/>
      <c r="H174" s="4"/>
      <c r="I174" s="4"/>
      <c r="J174" s="4"/>
      <c r="K174" s="4"/>
    </row>
    <row r="175" spans="2:11">
      <c r="B175" s="1033"/>
      <c r="C175" s="68"/>
      <c r="D175" s="1015" t="s">
        <v>1567</v>
      </c>
      <c r="E175" s="1016"/>
      <c r="F175" s="1017"/>
      <c r="G175" s="4"/>
      <c r="H175" s="4"/>
      <c r="I175" s="4"/>
      <c r="J175" s="4"/>
      <c r="K175" s="4"/>
    </row>
    <row r="176" spans="2:11">
      <c r="B176" s="1033"/>
      <c r="C176" s="68"/>
      <c r="D176" s="1015" t="s">
        <v>1568</v>
      </c>
      <c r="E176" s="1016"/>
      <c r="F176" s="1017"/>
      <c r="G176" s="4"/>
      <c r="H176" s="4"/>
      <c r="I176" s="4"/>
      <c r="J176" s="4"/>
      <c r="K176" s="4"/>
    </row>
    <row r="177" spans="2:11">
      <c r="B177" s="1033"/>
      <c r="C177" s="68"/>
      <c r="D177" s="1015" t="s">
        <v>1569</v>
      </c>
      <c r="E177" s="1016"/>
      <c r="F177" s="1017"/>
      <c r="G177" s="4"/>
      <c r="H177" s="4"/>
      <c r="I177" s="4"/>
      <c r="J177" s="4"/>
      <c r="K177" s="4"/>
    </row>
    <row r="178" spans="2:11">
      <c r="B178" s="1033"/>
      <c r="C178" s="68"/>
      <c r="D178" s="1015" t="s">
        <v>1570</v>
      </c>
      <c r="E178" s="1016"/>
      <c r="F178" s="1017"/>
      <c r="G178" s="4"/>
      <c r="H178" s="4"/>
      <c r="I178" s="4"/>
      <c r="J178" s="4"/>
      <c r="K178" s="4"/>
    </row>
    <row r="179" spans="2:11">
      <c r="B179" s="1033"/>
      <c r="C179" s="68"/>
      <c r="D179" s="1015" t="s">
        <v>1571</v>
      </c>
      <c r="E179" s="1016"/>
      <c r="F179" s="1017"/>
      <c r="G179" s="4"/>
      <c r="H179" s="4"/>
      <c r="I179" s="4"/>
      <c r="J179" s="4"/>
      <c r="K179" s="4"/>
    </row>
    <row r="180" spans="2:11">
      <c r="B180" s="1033"/>
      <c r="C180" s="68"/>
      <c r="D180" s="1015" t="s">
        <v>1572</v>
      </c>
      <c r="E180" s="1016"/>
      <c r="F180" s="1017"/>
      <c r="G180" s="4"/>
      <c r="H180" s="4"/>
      <c r="I180" s="4"/>
      <c r="J180" s="4"/>
      <c r="K180" s="4"/>
    </row>
    <row r="181" spans="2:11" ht="15.75" thickBot="1">
      <c r="B181" s="1033"/>
      <c r="C181" s="68"/>
      <c r="D181" s="1006" t="s">
        <v>1573</v>
      </c>
      <c r="E181" s="1007"/>
      <c r="F181" s="1008"/>
      <c r="G181" s="4"/>
      <c r="H181" s="4"/>
      <c r="I181" s="4"/>
      <c r="J181" s="4"/>
      <c r="K181" s="4"/>
    </row>
    <row r="182" spans="2:11" ht="24.75" thickBot="1">
      <c r="B182" s="1033"/>
      <c r="C182" s="890"/>
      <c r="D182" s="842" t="s">
        <v>1574</v>
      </c>
      <c r="E182" s="842" t="s">
        <v>1575</v>
      </c>
      <c r="F182" s="842" t="s">
        <v>1576</v>
      </c>
      <c r="G182" s="4"/>
      <c r="H182" s="4"/>
      <c r="I182" s="4"/>
      <c r="J182" s="4"/>
      <c r="K182" s="4"/>
    </row>
    <row r="183" spans="2:11" ht="15.75" thickBot="1">
      <c r="B183" s="1033"/>
      <c r="C183" s="890"/>
      <c r="D183" s="845" t="s">
        <v>1577</v>
      </c>
      <c r="E183" s="794">
        <v>0.15</v>
      </c>
      <c r="F183" s="794">
        <v>0.15</v>
      </c>
      <c r="G183" s="4"/>
      <c r="H183" s="4"/>
      <c r="I183" s="4"/>
      <c r="J183" s="4"/>
      <c r="K183" s="4"/>
    </row>
    <row r="184" spans="2:11" ht="15.75" thickBot="1">
      <c r="B184" s="1033"/>
      <c r="C184" s="890"/>
      <c r="D184" s="845" t="s">
        <v>1578</v>
      </c>
      <c r="E184" s="794">
        <v>0.18</v>
      </c>
      <c r="F184" s="794">
        <v>0.33</v>
      </c>
      <c r="G184" s="4"/>
      <c r="H184" s="795"/>
      <c r="I184" s="4"/>
      <c r="J184" s="4"/>
      <c r="K184" s="4"/>
    </row>
    <row r="185" spans="2:11" ht="15.75" thickBot="1">
      <c r="B185" s="1033"/>
      <c r="C185" s="890"/>
      <c r="D185" s="845" t="s">
        <v>1579</v>
      </c>
      <c r="E185" s="794">
        <v>0.33</v>
      </c>
      <c r="F185" s="794">
        <v>0.66</v>
      </c>
      <c r="G185" s="4"/>
      <c r="H185" s="795"/>
      <c r="I185" s="4"/>
      <c r="J185" s="4"/>
      <c r="K185" s="4"/>
    </row>
    <row r="186" spans="2:11" ht="24.75" thickBot="1">
      <c r="B186" s="1033"/>
      <c r="C186" s="890"/>
      <c r="D186" s="845" t="s">
        <v>1580</v>
      </c>
      <c r="E186" s="794">
        <v>0.16</v>
      </c>
      <c r="F186" s="794">
        <v>0.82</v>
      </c>
      <c r="G186" s="4"/>
      <c r="H186" s="795"/>
      <c r="I186" s="4"/>
      <c r="J186" s="4"/>
      <c r="K186" s="4"/>
    </row>
    <row r="187" spans="2:11" ht="15.75" thickBot="1">
      <c r="B187" s="1033"/>
      <c r="C187" s="890"/>
      <c r="D187" s="845" t="s">
        <v>1581</v>
      </c>
      <c r="E187" s="794">
        <v>0.18</v>
      </c>
      <c r="F187" s="794">
        <v>1</v>
      </c>
      <c r="G187" s="4"/>
      <c r="H187" s="795"/>
      <c r="I187" s="4"/>
      <c r="J187" s="4"/>
      <c r="K187" s="4"/>
    </row>
    <row r="188" spans="2:11">
      <c r="B188" s="1033"/>
      <c r="C188" s="68"/>
      <c r="D188" s="1021"/>
      <c r="E188" s="1022"/>
      <c r="F188" s="1023"/>
      <c r="G188" s="4"/>
      <c r="H188" s="4"/>
      <c r="I188" s="4"/>
      <c r="J188" s="4"/>
      <c r="K188" s="4"/>
    </row>
    <row r="189" spans="2:11" ht="15.75" thickBot="1">
      <c r="B189" s="1033"/>
      <c r="C189" s="68"/>
      <c r="D189" s="1006" t="s">
        <v>1553</v>
      </c>
      <c r="E189" s="1007"/>
      <c r="F189" s="1008"/>
      <c r="G189" s="4"/>
      <c r="H189" s="4"/>
      <c r="I189" s="4"/>
      <c r="J189" s="4"/>
      <c r="K189" s="4"/>
    </row>
    <row r="190" spans="2:11" ht="24.75" thickBot="1">
      <c r="B190" s="1033"/>
      <c r="C190" s="890"/>
      <c r="D190" s="842" t="s">
        <v>1574</v>
      </c>
      <c r="E190" s="842" t="s">
        <v>1575</v>
      </c>
      <c r="F190" s="842" t="s">
        <v>1576</v>
      </c>
      <c r="G190" s="4"/>
      <c r="H190" s="4"/>
      <c r="I190" s="4"/>
      <c r="J190" s="4"/>
      <c r="K190" s="4"/>
    </row>
    <row r="191" spans="2:11" ht="15.75" thickBot="1">
      <c r="B191" s="1033"/>
      <c r="C191" s="890"/>
      <c r="D191" s="845" t="s">
        <v>1582</v>
      </c>
      <c r="E191" s="794">
        <v>0.2</v>
      </c>
      <c r="F191" s="794">
        <v>0.2</v>
      </c>
      <c r="G191" s="4"/>
      <c r="H191" s="4"/>
      <c r="I191" s="4"/>
      <c r="J191" s="4"/>
      <c r="K191" s="4"/>
    </row>
    <row r="192" spans="2:11" ht="15.75" thickBot="1">
      <c r="B192" s="1033"/>
      <c r="C192" s="890"/>
      <c r="D192" s="845" t="s">
        <v>1583</v>
      </c>
      <c r="E192" s="794">
        <v>0.5</v>
      </c>
      <c r="F192" s="794">
        <v>0.7</v>
      </c>
      <c r="G192" s="4"/>
      <c r="H192" s="795"/>
      <c r="I192" s="4"/>
      <c r="J192" s="4"/>
      <c r="K192" s="4"/>
    </row>
    <row r="193" spans="2:11" ht="15.75" thickBot="1">
      <c r="B193" s="1033"/>
      <c r="C193" s="890"/>
      <c r="D193" s="845" t="s">
        <v>1584</v>
      </c>
      <c r="E193" s="794">
        <v>0.3</v>
      </c>
      <c r="F193" s="794">
        <v>1</v>
      </c>
      <c r="G193" s="4"/>
      <c r="H193" s="795"/>
      <c r="I193" s="4"/>
      <c r="J193" s="4"/>
      <c r="K193" s="4"/>
    </row>
    <row r="194" spans="2:11">
      <c r="B194" s="1033"/>
      <c r="C194" s="68"/>
      <c r="D194" s="1009"/>
      <c r="E194" s="1010"/>
      <c r="F194" s="1011"/>
      <c r="G194" s="4"/>
      <c r="H194" s="795"/>
      <c r="I194" s="4"/>
      <c r="J194" s="4"/>
      <c r="K194" s="4"/>
    </row>
    <row r="195" spans="2:11" ht="15.75" thickBot="1">
      <c r="B195" s="1033"/>
      <c r="C195" s="68"/>
      <c r="D195" s="1006" t="s">
        <v>1585</v>
      </c>
      <c r="E195" s="1007"/>
      <c r="F195" s="1008"/>
      <c r="G195" s="4"/>
      <c r="H195" s="795"/>
      <c r="I195" s="4"/>
      <c r="J195" s="4"/>
      <c r="K195" s="4"/>
    </row>
    <row r="196" spans="2:11" ht="24.75" thickBot="1">
      <c r="B196" s="1033"/>
      <c r="C196" s="890"/>
      <c r="D196" s="842" t="s">
        <v>1574</v>
      </c>
      <c r="E196" s="842" t="s">
        <v>1575</v>
      </c>
      <c r="F196" s="842" t="s">
        <v>1576</v>
      </c>
      <c r="G196" s="4"/>
      <c r="H196" s="4"/>
      <c r="I196" s="4"/>
      <c r="J196" s="4"/>
      <c r="K196" s="4"/>
    </row>
    <row r="197" spans="2:11" ht="15.75" thickBot="1">
      <c r="B197" s="1033"/>
      <c r="C197" s="890"/>
      <c r="D197" s="845" t="s">
        <v>1586</v>
      </c>
      <c r="E197" s="794">
        <v>0.2</v>
      </c>
      <c r="F197" s="794">
        <v>0.2</v>
      </c>
      <c r="G197" s="4"/>
      <c r="H197" s="795"/>
      <c r="I197" s="4"/>
      <c r="J197" s="4"/>
      <c r="K197" s="4"/>
    </row>
    <row r="198" spans="2:11" ht="15.75" thickBot="1">
      <c r="B198" s="1033"/>
      <c r="C198" s="890"/>
      <c r="D198" s="845" t="s">
        <v>1583</v>
      </c>
      <c r="E198" s="794">
        <v>0.5</v>
      </c>
      <c r="F198" s="794">
        <v>0.7</v>
      </c>
      <c r="G198" s="4"/>
      <c r="H198" s="795"/>
      <c r="I198" s="4"/>
      <c r="J198" s="4"/>
      <c r="K198" s="4"/>
    </row>
    <row r="199" spans="2:11" ht="15.75" thickBot="1">
      <c r="B199" s="1033"/>
      <c r="C199" s="890"/>
      <c r="D199" s="845" t="s">
        <v>1584</v>
      </c>
      <c r="E199" s="794">
        <v>0.3</v>
      </c>
      <c r="F199" s="794">
        <v>1</v>
      </c>
      <c r="G199" s="4"/>
      <c r="H199" s="795"/>
      <c r="I199" s="4"/>
      <c r="J199" s="4"/>
      <c r="K199" s="4"/>
    </row>
    <row r="200" spans="2:11">
      <c r="B200" s="1033"/>
      <c r="C200" s="68"/>
      <c r="D200" s="1009"/>
      <c r="E200" s="1010"/>
      <c r="F200" s="1011"/>
      <c r="G200" s="4"/>
      <c r="H200" s="4"/>
      <c r="I200" s="4"/>
      <c r="J200" s="4"/>
      <c r="K200" s="4"/>
    </row>
    <row r="201" spans="2:11">
      <c r="B201" s="1033"/>
      <c r="C201" s="68"/>
      <c r="D201" s="1012" t="s">
        <v>1587</v>
      </c>
      <c r="E201" s="1013"/>
      <c r="F201" s="1014"/>
      <c r="G201" s="4"/>
      <c r="H201" s="4"/>
      <c r="I201" s="4"/>
      <c r="J201" s="4"/>
      <c r="K201" s="4"/>
    </row>
    <row r="202" spans="2:11">
      <c r="B202" s="1033"/>
      <c r="C202" s="68"/>
      <c r="D202" s="1015" t="s">
        <v>1588</v>
      </c>
      <c r="E202" s="1016"/>
      <c r="F202" s="1017"/>
      <c r="G202" s="4"/>
      <c r="H202" s="4"/>
      <c r="I202" s="4"/>
      <c r="J202" s="4"/>
      <c r="K202" s="4"/>
    </row>
    <row r="203" spans="2:11">
      <c r="B203" s="1033"/>
      <c r="C203" s="68"/>
      <c r="D203" s="827"/>
      <c r="E203" s="828"/>
      <c r="F203" s="829"/>
      <c r="G203" s="4"/>
      <c r="H203" s="4"/>
      <c r="I203" s="4"/>
      <c r="J203" s="4"/>
      <c r="K203" s="4"/>
    </row>
    <row r="204" spans="2:11">
      <c r="B204" s="1033"/>
      <c r="C204" s="68"/>
      <c r="D204" s="1015" t="s">
        <v>1589</v>
      </c>
      <c r="E204" s="1016"/>
      <c r="F204" s="1017"/>
      <c r="G204" s="4"/>
      <c r="H204" s="4"/>
      <c r="I204" s="4"/>
      <c r="J204" s="4"/>
      <c r="K204" s="4"/>
    </row>
    <row r="205" spans="2:11">
      <c r="B205" s="1033"/>
      <c r="C205" s="68"/>
      <c r="D205" s="1015" t="s">
        <v>1590</v>
      </c>
      <c r="E205" s="1016"/>
      <c r="F205" s="1017"/>
      <c r="G205" s="4"/>
      <c r="H205" s="4"/>
      <c r="I205" s="4"/>
      <c r="J205" s="4"/>
      <c r="K205" s="4"/>
    </row>
    <row r="206" spans="2:11">
      <c r="B206" s="1033"/>
      <c r="C206" s="68"/>
      <c r="D206" s="1015" t="s">
        <v>1591</v>
      </c>
      <c r="E206" s="1016"/>
      <c r="F206" s="1017"/>
      <c r="G206" s="4"/>
      <c r="H206" s="4"/>
      <c r="I206" s="4"/>
      <c r="J206" s="4"/>
      <c r="K206" s="4"/>
    </row>
    <row r="207" spans="2:11">
      <c r="B207" s="1033"/>
      <c r="C207" s="68"/>
      <c r="D207" s="1015" t="s">
        <v>1592</v>
      </c>
      <c r="E207" s="1016"/>
      <c r="F207" s="1017"/>
      <c r="G207" s="4"/>
      <c r="H207" s="4"/>
      <c r="I207" s="4"/>
      <c r="J207" s="4"/>
      <c r="K207" s="4"/>
    </row>
    <row r="208" spans="2:11">
      <c r="B208" s="1033"/>
      <c r="C208" s="68"/>
      <c r="D208" s="827"/>
      <c r="E208" s="828"/>
      <c r="F208" s="829"/>
      <c r="G208" s="4"/>
      <c r="H208" s="4"/>
      <c r="I208" s="4"/>
      <c r="J208" s="4"/>
      <c r="K208" s="4"/>
    </row>
    <row r="209" spans="2:11">
      <c r="B209" s="1033"/>
      <c r="C209" s="68"/>
      <c r="D209" s="1012" t="s">
        <v>1593</v>
      </c>
      <c r="E209" s="1013"/>
      <c r="F209" s="1014"/>
      <c r="G209" s="4"/>
      <c r="H209" s="4"/>
      <c r="I209" s="4"/>
      <c r="J209" s="4"/>
      <c r="K209" s="4"/>
    </row>
    <row r="210" spans="2:11">
      <c r="B210" s="1033"/>
      <c r="C210" s="68"/>
      <c r="D210" s="1015" t="s">
        <v>1594</v>
      </c>
      <c r="E210" s="1016"/>
      <c r="F210" s="1017"/>
      <c r="G210" s="4"/>
      <c r="H210" s="4"/>
      <c r="I210" s="4"/>
      <c r="J210" s="4"/>
      <c r="K210" s="4"/>
    </row>
    <row r="211" spans="2:11" ht="32.1" customHeight="1">
      <c r="B211" s="1033"/>
      <c r="C211" s="68"/>
      <c r="D211" s="1050"/>
      <c r="E211" s="1051"/>
      <c r="F211" s="1052"/>
      <c r="G211" s="4"/>
      <c r="H211" s="4"/>
      <c r="I211" s="4"/>
      <c r="J211" s="4"/>
      <c r="K211" s="4"/>
    </row>
    <row r="212" spans="2:11">
      <c r="B212" s="1033"/>
      <c r="C212" s="68"/>
      <c r="D212" s="1015" t="s">
        <v>1595</v>
      </c>
      <c r="E212" s="1016"/>
      <c r="F212" s="1017"/>
      <c r="G212" s="4"/>
      <c r="H212" s="4"/>
      <c r="I212" s="4"/>
      <c r="J212" s="4"/>
      <c r="K212" s="4"/>
    </row>
    <row r="213" spans="2:11">
      <c r="B213" s="1033"/>
      <c r="C213" s="68"/>
      <c r="D213" s="1015" t="s">
        <v>1596</v>
      </c>
      <c r="E213" s="1016"/>
      <c r="F213" s="1017"/>
      <c r="G213" s="4"/>
      <c r="H213" s="4"/>
      <c r="I213" s="4"/>
      <c r="J213" s="4"/>
      <c r="K213" s="4"/>
    </row>
    <row r="214" spans="2:11">
      <c r="B214" s="1033"/>
      <c r="C214" s="68"/>
      <c r="D214" s="1015" t="s">
        <v>1597</v>
      </c>
      <c r="E214" s="1016"/>
      <c r="F214" s="1017"/>
      <c r="G214" s="4"/>
      <c r="H214" s="4"/>
      <c r="I214" s="4"/>
      <c r="J214" s="4"/>
      <c r="K214" s="4"/>
    </row>
    <row r="215" spans="2:11" ht="15.75" thickBot="1">
      <c r="B215" s="1034"/>
      <c r="C215" s="69"/>
      <c r="D215" s="1047" t="s">
        <v>1598</v>
      </c>
      <c r="E215" s="1048"/>
      <c r="F215" s="1049"/>
      <c r="G215" s="4"/>
      <c r="H215" s="4"/>
      <c r="I215" s="4"/>
      <c r="J215" s="4"/>
      <c r="K215" s="4"/>
    </row>
  </sheetData>
  <sheetProtection insertRows="0"/>
  <mergeCells count="107">
    <mergeCell ref="A5:P5"/>
    <mergeCell ref="A1:P1"/>
    <mergeCell ref="A2:P2"/>
    <mergeCell ref="A3:P3"/>
    <mergeCell ref="A4:D4"/>
    <mergeCell ref="B10:D10"/>
    <mergeCell ref="F11:S11"/>
    <mergeCell ref="E12:R12"/>
    <mergeCell ref="E13:R13"/>
    <mergeCell ref="F10:S10"/>
    <mergeCell ref="D211:F211"/>
    <mergeCell ref="D212:F212"/>
    <mergeCell ref="D213:F213"/>
    <mergeCell ref="D214:F214"/>
    <mergeCell ref="D207:F207"/>
    <mergeCell ref="D181:F181"/>
    <mergeCell ref="D188:F188"/>
    <mergeCell ref="D189:F189"/>
    <mergeCell ref="D194:F194"/>
    <mergeCell ref="D195:F195"/>
    <mergeCell ref="D200:F200"/>
    <mergeCell ref="D201:F201"/>
    <mergeCell ref="D202:F202"/>
    <mergeCell ref="D204:F204"/>
    <mergeCell ref="D205:F205"/>
    <mergeCell ref="D206:F206"/>
    <mergeCell ref="D175:F175"/>
    <mergeCell ref="D176:F176"/>
    <mergeCell ref="D177:F177"/>
    <mergeCell ref="D178:F178"/>
    <mergeCell ref="D179:F179"/>
    <mergeCell ref="D180:F180"/>
    <mergeCell ref="D166:F166"/>
    <mergeCell ref="D167:F167"/>
    <mergeCell ref="B168:B215"/>
    <mergeCell ref="D168:F168"/>
    <mergeCell ref="D169:F169"/>
    <mergeCell ref="D170:F170"/>
    <mergeCell ref="D171:F171"/>
    <mergeCell ref="D172:F172"/>
    <mergeCell ref="D173:F173"/>
    <mergeCell ref="D174:F174"/>
    <mergeCell ref="B150:B167"/>
    <mergeCell ref="D150:F150"/>
    <mergeCell ref="D151:F151"/>
    <mergeCell ref="D152:F152"/>
    <mergeCell ref="D153:F153"/>
    <mergeCell ref="D215:F215"/>
    <mergeCell ref="D209:F209"/>
    <mergeCell ref="D210:F210"/>
    <mergeCell ref="D149:F149"/>
    <mergeCell ref="D165:F165"/>
    <mergeCell ref="D154:F154"/>
    <mergeCell ref="D155:F155"/>
    <mergeCell ref="D156:F156"/>
    <mergeCell ref="D157:F157"/>
    <mergeCell ref="D158:F158"/>
    <mergeCell ref="D159:F159"/>
    <mergeCell ref="D160:F160"/>
    <mergeCell ref="D161:F161"/>
    <mergeCell ref="D162:F162"/>
    <mergeCell ref="D163:F163"/>
    <mergeCell ref="D164:F164"/>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B107:E107"/>
    <mergeCell ref="B108:B114"/>
    <mergeCell ref="B116:E116"/>
    <mergeCell ref="B117:B123"/>
    <mergeCell ref="B130:F131"/>
    <mergeCell ref="D100:E100"/>
    <mergeCell ref="D101:K101"/>
    <mergeCell ref="D102:K102"/>
    <mergeCell ref="D104:K104"/>
    <mergeCell ref="D105:K105"/>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 ref="J25:K25"/>
    <mergeCell ref="J28:K28"/>
    <mergeCell ref="J26:K26"/>
    <mergeCell ref="J27:K27"/>
  </mergeCells>
  <conditionalFormatting sqref="D100">
    <cfRule type="containsText" dxfId="129" priority="5" operator="containsText" text="ERROR">
      <formula>NOT(ISERROR(SEARCH("ERROR",D100)))</formula>
    </cfRule>
  </conditionalFormatting>
  <conditionalFormatting sqref="F10">
    <cfRule type="notContainsBlanks" dxfId="128" priority="4">
      <formula>LEN(TRIM(F10))&gt;0</formula>
    </cfRule>
  </conditionalFormatting>
  <conditionalFormatting sqref="F11:S11">
    <cfRule type="expression" dxfId="127" priority="2">
      <formula>E11="NO SE REPORTA"</formula>
    </cfRule>
    <cfRule type="expression" dxfId="126" priority="3">
      <formula>E10="NO APLICA"</formula>
    </cfRule>
  </conditionalFormatting>
  <conditionalFormatting sqref="E12:R12">
    <cfRule type="expression" dxfId="125" priority="1">
      <formula>E11="SI SE REPORTA"</formula>
    </cfRule>
  </conditionalFormatting>
  <dataValidations count="7">
    <dataValidation type="decimal" allowBlank="1" showInputMessage="1" showErrorMessage="1" errorTitle="ERROR" error="Escriba un valor entre 0% y 100%" sqref="E97:F99 G62:J75 G45:J58" xr:uid="{00000000-0002-0000-09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900-000001000000}">
      <formula1>0</formula1>
    </dataValidation>
    <dataValidation type="textLength" allowBlank="1" showInputMessage="1" showErrorMessage="1" errorTitle="ERROR" error="Escriba POMCA, PMM o PMA" promptTitle="ESCRIBA" prompt="POMCA, PMA o PMM" sqref="D25:D38 D45:D58" xr:uid="{00000000-0002-0000-0900-000002000000}">
      <formula1>1</formula1>
      <formula2>5</formula2>
    </dataValidation>
    <dataValidation type="whole" operator="greaterThanOrEqual" allowBlank="1" showInputMessage="1" showErrorMessage="1" errorTitle="ERROR" error="Valor en HECTAREAS (sin decimales)_x000a_" sqref="G25:G38" xr:uid="{00000000-0002-0000-0900-000003000000}">
      <formula1>0</formula1>
    </dataValidation>
    <dataValidation allowBlank="1" showInputMessage="1" showErrorMessage="1" promptTitle="ESTADO" prompt="Procesos formales previos_x000a_Aprestamiento_x000a_Diagnóstico_x000a_Prospectiva y Zonificación Ambiental_x000a_Formulación_x000a_Aprobado" sqref="H25:H38" xr:uid="{00000000-0002-0000-0900-000004000000}"/>
    <dataValidation type="list" allowBlank="1" showInputMessage="1" showErrorMessage="1" sqref="E10" xr:uid="{00000000-0002-0000-0900-000005000000}">
      <formula1>SI</formula1>
    </dataValidation>
    <dataValidation type="list" allowBlank="1" showInputMessage="1" showErrorMessage="1" sqref="E11" xr:uid="{00000000-0002-0000-0900-000006000000}">
      <formula1>REPORTE</formula1>
    </dataValidation>
  </dataValidations>
  <hyperlinks>
    <hyperlink ref="B9" location="'ANEXO 3'!A1" display="VOLVER AL INDICE" xr:uid="{00000000-0004-0000-0900-000000000000}"/>
    <hyperlink ref="E112" r:id="rId1" xr:uid="{00000000-0004-0000-0900-000001000000}"/>
  </hyperlinks>
  <pageMargins left="0.25" right="0.25" top="0.75" bottom="0.75" header="0.3" footer="0.3"/>
  <pageSetup paperSize="178" orientation="landscape"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U76"/>
  <sheetViews>
    <sheetView showGridLines="0" topLeftCell="A10" zoomScale="98" zoomScaleNormal="98" workbookViewId="0">
      <selection activeCell="E17" sqref="E17"/>
    </sheetView>
  </sheetViews>
  <sheetFormatPr defaultColWidth="10.7109375" defaultRowHeight="15"/>
  <cols>
    <col min="1" max="1" width="1.85546875" style="241" customWidth="1"/>
    <col min="2" max="2" width="12.85546875" style="241" customWidth="1"/>
    <col min="3" max="3" width="6.14062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729</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55"/>
      <c r="D7" s="4"/>
      <c r="E7" s="13"/>
      <c r="F7" s="4" t="s">
        <v>1439</v>
      </c>
      <c r="G7" s="4"/>
      <c r="H7" s="4"/>
      <c r="I7" s="4"/>
      <c r="J7" s="4"/>
      <c r="K7" s="4"/>
    </row>
    <row r="8" spans="1:21" ht="15.75" thickBot="1">
      <c r="B8" s="132" t="s">
        <v>1440</v>
      </c>
      <c r="C8" s="164">
        <v>2020</v>
      </c>
      <c r="D8" s="703">
        <f>IF(E10="NO APLICA","NO APLICA",IF(E11="NO SE REPORTA","SIN INFORMACION",+E23))</f>
        <v>1</v>
      </c>
      <c r="E8" s="165"/>
      <c r="F8" s="4" t="s">
        <v>1441</v>
      </c>
      <c r="G8" s="4"/>
      <c r="H8" s="4"/>
      <c r="I8" s="4"/>
      <c r="J8" s="4"/>
      <c r="K8" s="4"/>
    </row>
    <row r="9" spans="1:21">
      <c r="B9" s="300" t="s">
        <v>1442</v>
      </c>
      <c r="D9" s="45"/>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1599</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5"/>
      <c r="E14" s="4"/>
      <c r="F14" s="4"/>
      <c r="G14" s="4"/>
      <c r="H14" s="4"/>
      <c r="I14" s="4"/>
      <c r="J14" s="4"/>
      <c r="K14" s="4"/>
    </row>
    <row r="15" spans="1:21" ht="15.75" thickBot="1">
      <c r="B15" s="1032" t="s">
        <v>1449</v>
      </c>
      <c r="C15" s="65"/>
      <c r="D15" s="1009" t="s">
        <v>1450</v>
      </c>
      <c r="E15" s="1010"/>
      <c r="F15" s="1010"/>
      <c r="G15" s="1010"/>
      <c r="H15" s="1010"/>
      <c r="I15" s="1010"/>
      <c r="J15" s="1011"/>
      <c r="K15" s="4"/>
    </row>
    <row r="16" spans="1:21" ht="36.75" thickBot="1">
      <c r="B16" s="1033"/>
      <c r="C16" s="890"/>
      <c r="D16" s="842" t="s">
        <v>1600</v>
      </c>
      <c r="E16" s="160">
        <v>17</v>
      </c>
      <c r="F16" s="4"/>
      <c r="G16" s="4"/>
      <c r="H16" s="4"/>
      <c r="I16" s="4"/>
      <c r="J16" s="17"/>
      <c r="K16" s="4"/>
    </row>
    <row r="17" spans="2:11" ht="48.75" thickBot="1">
      <c r="B17" s="1033"/>
      <c r="C17" s="890"/>
      <c r="D17" s="845" t="s">
        <v>1601</v>
      </c>
      <c r="E17" s="160">
        <v>3</v>
      </c>
      <c r="F17" s="4"/>
      <c r="G17" s="4"/>
      <c r="H17" s="4"/>
      <c r="I17" s="4"/>
      <c r="J17" s="17"/>
      <c r="K17" s="4"/>
    </row>
    <row r="18" spans="2:11" ht="48.75" thickBot="1">
      <c r="B18" s="1033"/>
      <c r="C18" s="890"/>
      <c r="D18" s="845" t="s">
        <v>1602</v>
      </c>
      <c r="E18" s="160">
        <v>5</v>
      </c>
      <c r="F18" s="4"/>
      <c r="G18" s="4"/>
      <c r="H18" s="4"/>
      <c r="I18" s="4"/>
      <c r="J18" s="17"/>
      <c r="K18" s="4"/>
    </row>
    <row r="19" spans="2:11" ht="15.75" thickBot="1">
      <c r="B19" s="1033"/>
      <c r="C19" s="68"/>
      <c r="D19" s="1044"/>
      <c r="E19" s="1045"/>
      <c r="F19" s="1045"/>
      <c r="G19" s="1045"/>
      <c r="H19" s="1045"/>
      <c r="I19" s="1045"/>
      <c r="J19" s="1046"/>
      <c r="K19" s="4"/>
    </row>
    <row r="20" spans="2:11" ht="15.75" thickBot="1">
      <c r="B20" s="1033"/>
      <c r="C20" s="878" t="s">
        <v>1402</v>
      </c>
      <c r="D20" s="842" t="s">
        <v>1603</v>
      </c>
      <c r="E20" s="872" t="s">
        <v>1487</v>
      </c>
      <c r="F20" s="872" t="s">
        <v>1488</v>
      </c>
      <c r="G20" s="872" t="s">
        <v>1489</v>
      </c>
      <c r="H20" s="872" t="s">
        <v>1490</v>
      </c>
      <c r="I20" s="872" t="s">
        <v>1604</v>
      </c>
      <c r="J20" s="80"/>
      <c r="K20" s="4"/>
    </row>
    <row r="21" spans="2:11" ht="36.75" thickBot="1">
      <c r="B21" s="1033"/>
      <c r="C21" s="857" t="s">
        <v>1605</v>
      </c>
      <c r="D21" s="845" t="s">
        <v>1606</v>
      </c>
      <c r="E21" s="160">
        <v>3</v>
      </c>
      <c r="F21" s="160">
        <v>1</v>
      </c>
      <c r="G21" s="160">
        <v>0</v>
      </c>
      <c r="H21" s="160">
        <v>1</v>
      </c>
      <c r="I21" s="34">
        <f>SUM(E21:H21)</f>
        <v>5</v>
      </c>
      <c r="J21" s="81"/>
      <c r="K21" s="4"/>
    </row>
    <row r="22" spans="2:11" ht="36.75" thickBot="1">
      <c r="B22" s="1033"/>
      <c r="C22" s="857" t="s">
        <v>1607</v>
      </c>
      <c r="D22" s="845" t="s">
        <v>1608</v>
      </c>
      <c r="E22" s="160">
        <v>3</v>
      </c>
      <c r="F22" s="160"/>
      <c r="G22" s="160"/>
      <c r="H22" s="160"/>
      <c r="I22" s="34">
        <f>SUM(E22:H22)</f>
        <v>3</v>
      </c>
      <c r="J22" s="81" t="s">
        <v>1609</v>
      </c>
      <c r="K22" s="4"/>
    </row>
    <row r="23" spans="2:11" ht="36.75" thickBot="1">
      <c r="B23" s="1034"/>
      <c r="C23" s="857" t="s">
        <v>1610</v>
      </c>
      <c r="D23" s="845" t="s">
        <v>1611</v>
      </c>
      <c r="E23" s="143">
        <f>IFERROR(E22/E21,"N.A.")</f>
        <v>1</v>
      </c>
      <c r="F23" s="143">
        <f>IFERROR(F22/F21,"N.A.")</f>
        <v>0</v>
      </c>
      <c r="G23" s="143" t="str">
        <f>IFERROR(G22/G21,"N.A.")</f>
        <v>N.A.</v>
      </c>
      <c r="H23" s="143">
        <f>IFERROR(H22/H21,"N.A.")</f>
        <v>0</v>
      </c>
      <c r="I23" s="143">
        <f>IFERROR(I22/I21,"N.A.")</f>
        <v>0.6</v>
      </c>
      <c r="J23" s="82"/>
      <c r="K23" s="4"/>
    </row>
    <row r="24" spans="2:11" ht="15.75" thickBot="1">
      <c r="B24" s="839" t="s">
        <v>1504</v>
      </c>
      <c r="C24" s="69"/>
      <c r="D24" s="1041" t="s">
        <v>1612</v>
      </c>
      <c r="E24" s="1042"/>
      <c r="F24" s="1042"/>
      <c r="G24" s="1042"/>
      <c r="H24" s="1042"/>
      <c r="I24" s="1042"/>
      <c r="J24" s="1043"/>
      <c r="K24" s="4"/>
    </row>
    <row r="25" spans="2:11" ht="24.75" thickBot="1">
      <c r="B25" s="839" t="s">
        <v>1506</v>
      </c>
      <c r="C25" s="69"/>
      <c r="D25" s="1041" t="s">
        <v>1613</v>
      </c>
      <c r="E25" s="1042"/>
      <c r="F25" s="1042"/>
      <c r="G25" s="1042"/>
      <c r="H25" s="1042"/>
      <c r="I25" s="1042"/>
      <c r="J25" s="1043"/>
      <c r="K25" s="4"/>
    </row>
    <row r="26" spans="2:11" ht="15.75" thickBot="1">
      <c r="B26" s="1"/>
      <c r="C26" s="55"/>
      <c r="D26" s="4"/>
      <c r="E26" s="4"/>
      <c r="F26" s="4"/>
      <c r="G26" s="4"/>
      <c r="H26" s="4"/>
      <c r="I26" s="4"/>
      <c r="J26" s="4"/>
      <c r="K26" s="4"/>
    </row>
    <row r="27" spans="2:11" ht="24" customHeight="1" thickBot="1">
      <c r="B27" s="1029" t="s">
        <v>1508</v>
      </c>
      <c r="C27" s="1030"/>
      <c r="D27" s="1030"/>
      <c r="E27" s="1031"/>
      <c r="F27" s="4"/>
      <c r="G27" s="4"/>
      <c r="H27" s="4"/>
      <c r="I27" s="4"/>
      <c r="J27" s="4"/>
      <c r="K27" s="4"/>
    </row>
    <row r="28" spans="2:11" ht="15.75" thickBot="1">
      <c r="B28" s="1032">
        <v>1</v>
      </c>
      <c r="C28" s="890"/>
      <c r="D28" s="37" t="s">
        <v>1509</v>
      </c>
      <c r="E28" s="25" t="s">
        <v>1510</v>
      </c>
      <c r="F28" s="4"/>
      <c r="G28" s="4"/>
      <c r="H28" s="4"/>
      <c r="I28" s="4"/>
      <c r="J28" s="4"/>
      <c r="K28" s="4"/>
    </row>
    <row r="29" spans="2:11" ht="36.75" thickBot="1">
      <c r="B29" s="1033"/>
      <c r="C29" s="890"/>
      <c r="D29" s="845" t="s">
        <v>10</v>
      </c>
      <c r="E29" s="24" t="s">
        <v>1614</v>
      </c>
      <c r="F29" s="4"/>
      <c r="G29" s="4"/>
      <c r="H29" s="4"/>
      <c r="I29" s="4"/>
      <c r="J29" s="4"/>
      <c r="K29" s="4"/>
    </row>
    <row r="30" spans="2:11" ht="24.75" thickBot="1">
      <c r="B30" s="1033"/>
      <c r="C30" s="890"/>
      <c r="D30" s="845" t="s">
        <v>1512</v>
      </c>
      <c r="E30" s="24" t="s">
        <v>1615</v>
      </c>
      <c r="F30" s="4"/>
      <c r="G30" s="4"/>
      <c r="H30" s="4"/>
      <c r="I30" s="4"/>
      <c r="J30" s="4"/>
      <c r="K30" s="4"/>
    </row>
    <row r="31" spans="2:11" ht="15.75" thickBot="1">
      <c r="B31" s="1033"/>
      <c r="C31" s="890"/>
      <c r="D31" s="845" t="s">
        <v>13</v>
      </c>
      <c r="E31" s="25" t="s">
        <v>1514</v>
      </c>
      <c r="F31" s="4"/>
      <c r="G31" s="4"/>
      <c r="H31" s="4"/>
      <c r="I31" s="4"/>
      <c r="J31" s="4"/>
      <c r="K31" s="4"/>
    </row>
    <row r="32" spans="2:11" ht="45.75" thickBot="1">
      <c r="B32" s="1033"/>
      <c r="C32" s="890"/>
      <c r="D32" s="845" t="s">
        <v>16</v>
      </c>
      <c r="E32" s="704" t="s">
        <v>1515</v>
      </c>
      <c r="F32" s="4"/>
      <c r="G32" s="4"/>
      <c r="H32" s="4"/>
      <c r="I32" s="4"/>
      <c r="J32" s="4"/>
      <c r="K32" s="4"/>
    </row>
    <row r="33" spans="2:11" ht="15.75" thickBot="1">
      <c r="B33" s="1033"/>
      <c r="C33" s="890"/>
      <c r="D33" s="845" t="s">
        <v>19</v>
      </c>
      <c r="E33" s="275">
        <v>3686626</v>
      </c>
      <c r="F33" s="4"/>
      <c r="G33" s="4"/>
      <c r="H33" s="4"/>
      <c r="I33" s="4"/>
      <c r="J33" s="4"/>
      <c r="K33" s="4"/>
    </row>
    <row r="34" spans="2:11" ht="24.75" thickBot="1">
      <c r="B34" s="1034"/>
      <c r="C34" s="857"/>
      <c r="D34" s="845" t="s">
        <v>1516</v>
      </c>
      <c r="E34" s="24" t="s">
        <v>1517</v>
      </c>
      <c r="F34" s="4"/>
      <c r="G34" s="4"/>
      <c r="H34" s="4"/>
      <c r="I34" s="4"/>
      <c r="J34" s="4"/>
      <c r="K34" s="4"/>
    </row>
    <row r="35" spans="2:11" ht="15.75" thickBot="1">
      <c r="B35" s="1"/>
      <c r="C35" s="55"/>
      <c r="D35" s="4"/>
      <c r="E35" s="4"/>
      <c r="F35" s="4"/>
      <c r="G35" s="4"/>
      <c r="H35" s="4"/>
      <c r="I35" s="4"/>
      <c r="J35" s="4"/>
      <c r="K35" s="4"/>
    </row>
    <row r="36" spans="2:11" ht="15.75" thickBot="1">
      <c r="B36" s="1029" t="s">
        <v>1518</v>
      </c>
      <c r="C36" s="1030"/>
      <c r="D36" s="1030"/>
      <c r="E36" s="1031"/>
      <c r="F36" s="4"/>
      <c r="G36" s="4"/>
      <c r="H36" s="4"/>
      <c r="I36" s="4"/>
      <c r="J36" s="4"/>
      <c r="K36" s="4"/>
    </row>
    <row r="37" spans="2:11" ht="15.75" thickBot="1">
      <c r="B37" s="1032">
        <v>1</v>
      </c>
      <c r="C37" s="890"/>
      <c r="D37" s="37" t="s">
        <v>1509</v>
      </c>
      <c r="E37" s="204" t="s">
        <v>1519</v>
      </c>
      <c r="F37" s="4"/>
      <c r="G37" s="4"/>
      <c r="H37" s="4"/>
      <c r="I37" s="4"/>
      <c r="J37" s="4"/>
      <c r="K37" s="4"/>
    </row>
    <row r="38" spans="2:11" ht="15.75" thickBot="1">
      <c r="B38" s="1033"/>
      <c r="C38" s="890"/>
      <c r="D38" s="845" t="s">
        <v>10</v>
      </c>
      <c r="E38" s="204" t="s">
        <v>1616</v>
      </c>
      <c r="F38" s="4"/>
      <c r="G38" s="4"/>
      <c r="H38" s="4"/>
      <c r="I38" s="4"/>
      <c r="J38" s="4"/>
      <c r="K38" s="4"/>
    </row>
    <row r="39" spans="2:11" ht="15.75" thickBot="1">
      <c r="B39" s="1033"/>
      <c r="C39" s="890"/>
      <c r="D39" s="845" t="s">
        <v>1512</v>
      </c>
      <c r="E39" s="205"/>
      <c r="F39" s="4"/>
      <c r="G39" s="4"/>
      <c r="H39" s="4"/>
      <c r="I39" s="4"/>
      <c r="J39" s="4"/>
      <c r="K39" s="4"/>
    </row>
    <row r="40" spans="2:11" ht="15.75" thickBot="1">
      <c r="B40" s="1033"/>
      <c r="C40" s="890"/>
      <c r="D40" s="845" t="s">
        <v>13</v>
      </c>
      <c r="E40" s="205"/>
      <c r="F40" s="4"/>
      <c r="G40" s="4"/>
      <c r="H40" s="4"/>
      <c r="I40" s="4"/>
      <c r="J40" s="4"/>
      <c r="K40" s="4"/>
    </row>
    <row r="41" spans="2:11" ht="15.75" thickBot="1">
      <c r="B41" s="1033"/>
      <c r="C41" s="890"/>
      <c r="D41" s="845" t="s">
        <v>16</v>
      </c>
      <c r="E41" s="205"/>
      <c r="F41" s="4"/>
      <c r="G41" s="4"/>
      <c r="H41" s="4"/>
      <c r="I41" s="4"/>
      <c r="J41" s="4"/>
      <c r="K41" s="4"/>
    </row>
    <row r="42" spans="2:11" ht="15.75" thickBot="1">
      <c r="B42" s="1033"/>
      <c r="C42" s="890"/>
      <c r="D42" s="845" t="s">
        <v>19</v>
      </c>
      <c r="E42" s="205"/>
      <c r="F42" s="4"/>
      <c r="G42" s="4"/>
      <c r="H42" s="4"/>
      <c r="I42" s="4"/>
      <c r="J42" s="4"/>
      <c r="K42" s="4"/>
    </row>
    <row r="43" spans="2:11" ht="15.75" thickBot="1">
      <c r="B43" s="1034"/>
      <c r="C43" s="857"/>
      <c r="D43" s="845" t="s">
        <v>1516</v>
      </c>
      <c r="E43" s="205"/>
      <c r="F43" s="4"/>
      <c r="G43" s="4"/>
      <c r="H43" s="4"/>
      <c r="I43" s="4"/>
      <c r="J43" s="4"/>
      <c r="K43" s="4"/>
    </row>
    <row r="44" spans="2:11" ht="15.75" thickBot="1">
      <c r="B44" s="1"/>
      <c r="C44" s="55"/>
      <c r="D44" s="4"/>
      <c r="E44" s="4"/>
      <c r="F44" s="4"/>
      <c r="G44" s="4"/>
      <c r="H44" s="4"/>
      <c r="I44" s="4"/>
      <c r="J44" s="4"/>
      <c r="K44" s="4"/>
    </row>
    <row r="45" spans="2:11" ht="15" customHeight="1" thickBot="1">
      <c r="B45" s="88" t="s">
        <v>1521</v>
      </c>
      <c r="C45" s="89"/>
      <c r="D45" s="89"/>
      <c r="E45" s="89"/>
      <c r="F45" s="90"/>
      <c r="G45" s="4"/>
      <c r="H45" s="4"/>
      <c r="I45" s="4"/>
      <c r="J45" s="4"/>
      <c r="K45" s="4"/>
    </row>
    <row r="46" spans="2:11" ht="15.75" thickBot="1">
      <c r="B46" s="839" t="s">
        <v>1522</v>
      </c>
      <c r="C46" s="32" t="s">
        <v>1523</v>
      </c>
      <c r="D46" s="32" t="s">
        <v>1524</v>
      </c>
      <c r="E46" s="32" t="s">
        <v>1525</v>
      </c>
      <c r="F46" s="4"/>
      <c r="G46" s="4"/>
      <c r="H46" s="4"/>
      <c r="I46" s="4"/>
      <c r="J46" s="4"/>
    </row>
    <row r="47" spans="2:11" ht="72.75" thickBot="1">
      <c r="B47" s="38">
        <v>42401</v>
      </c>
      <c r="C47" s="32">
        <v>0.01</v>
      </c>
      <c r="D47" s="837" t="s">
        <v>1617</v>
      </c>
      <c r="E47" s="32"/>
      <c r="F47" s="4"/>
      <c r="G47" s="4"/>
      <c r="H47" s="4"/>
      <c r="I47" s="4"/>
      <c r="J47" s="4"/>
    </row>
    <row r="48" spans="2:11" ht="15.75" thickBot="1">
      <c r="B48" s="1"/>
      <c r="C48" s="55"/>
      <c r="D48" s="4"/>
      <c r="E48" s="4"/>
      <c r="F48" s="4"/>
      <c r="G48" s="4"/>
      <c r="H48" s="4"/>
      <c r="I48" s="4"/>
      <c r="J48" s="4"/>
      <c r="K48" s="4"/>
    </row>
    <row r="49" spans="2:11">
      <c r="B49" s="879" t="s">
        <v>1406</v>
      </c>
      <c r="C49" s="705"/>
      <c r="D49" s="4"/>
      <c r="E49" s="4"/>
      <c r="F49" s="4"/>
      <c r="G49" s="4"/>
      <c r="H49" s="4"/>
      <c r="I49" s="4"/>
      <c r="J49" s="4"/>
      <c r="K49" s="4"/>
    </row>
    <row r="50" spans="2:11">
      <c r="B50" s="1062"/>
      <c r="C50" s="1063"/>
      <c r="D50" s="1063"/>
      <c r="E50" s="1063"/>
      <c r="F50" s="1063"/>
      <c r="G50" s="1063"/>
      <c r="H50" s="1063"/>
      <c r="I50" s="1063"/>
      <c r="J50" s="1064"/>
      <c r="K50" s="4"/>
    </row>
    <row r="51" spans="2:11">
      <c r="B51" s="4"/>
      <c r="D51" s="4"/>
      <c r="E51" s="4"/>
      <c r="F51" s="4"/>
      <c r="G51" s="4"/>
      <c r="H51" s="4"/>
      <c r="I51" s="4"/>
      <c r="J51" s="4"/>
      <c r="K51" s="4"/>
    </row>
    <row r="52" spans="2:11" ht="15.75" thickBot="1">
      <c r="B52" s="4"/>
      <c r="D52" s="4"/>
      <c r="E52" s="4"/>
      <c r="F52" s="4"/>
      <c r="G52" s="4"/>
      <c r="H52" s="4"/>
      <c r="I52" s="4"/>
      <c r="J52" s="4"/>
      <c r="K52" s="4"/>
    </row>
    <row r="53" spans="2:11" ht="15.75" thickBot="1">
      <c r="B53" s="1029" t="s">
        <v>1527</v>
      </c>
      <c r="C53" s="1030"/>
      <c r="D53" s="1031"/>
      <c r="E53" s="4"/>
      <c r="F53" s="4"/>
      <c r="G53" s="4"/>
      <c r="H53" s="4"/>
      <c r="I53" s="4"/>
      <c r="J53" s="4"/>
      <c r="K53" s="4"/>
    </row>
    <row r="54" spans="2:11" ht="15.75" thickBot="1">
      <c r="B54" s="1"/>
      <c r="C54" s="55"/>
      <c r="D54" s="4"/>
      <c r="E54" s="4"/>
      <c r="F54" s="4"/>
      <c r="G54" s="4"/>
      <c r="H54" s="4"/>
      <c r="I54" s="4"/>
      <c r="J54" s="4"/>
      <c r="K54" s="4"/>
    </row>
    <row r="55" spans="2:11" ht="24" customHeight="1" thickBot="1">
      <c r="B55" s="40" t="s">
        <v>1528</v>
      </c>
      <c r="C55" s="877"/>
      <c r="D55" s="1041" t="s">
        <v>1618</v>
      </c>
      <c r="E55" s="1042"/>
      <c r="F55" s="1042"/>
      <c r="G55" s="1042"/>
      <c r="H55" s="1042"/>
      <c r="I55" s="1042"/>
      <c r="J55" s="1043"/>
      <c r="K55" s="4"/>
    </row>
    <row r="56" spans="2:11">
      <c r="B56" s="1032" t="s">
        <v>1530</v>
      </c>
      <c r="C56" s="65"/>
      <c r="D56" s="1021" t="s">
        <v>1531</v>
      </c>
      <c r="E56" s="1022"/>
      <c r="F56" s="1022"/>
      <c r="G56" s="1022"/>
      <c r="H56" s="1022"/>
      <c r="I56" s="1022"/>
      <c r="J56" s="1023"/>
      <c r="K56" s="4"/>
    </row>
    <row r="57" spans="2:11" ht="24" customHeight="1">
      <c r="B57" s="1033"/>
      <c r="C57" s="68"/>
      <c r="D57" s="1015" t="s">
        <v>1619</v>
      </c>
      <c r="E57" s="1016"/>
      <c r="F57" s="1016"/>
      <c r="G57" s="1016"/>
      <c r="H57" s="1016"/>
      <c r="I57" s="1016"/>
      <c r="J57" s="1017"/>
      <c r="K57" s="4"/>
    </row>
    <row r="58" spans="2:11">
      <c r="B58" s="1033"/>
      <c r="C58" s="68"/>
      <c r="D58" s="1012" t="s">
        <v>1620</v>
      </c>
      <c r="E58" s="1013"/>
      <c r="F58" s="1013"/>
      <c r="G58" s="1013"/>
      <c r="H58" s="1013"/>
      <c r="I58" s="1013"/>
      <c r="J58" s="1014"/>
      <c r="K58" s="4"/>
    </row>
    <row r="59" spans="2:11">
      <c r="B59" s="1033"/>
      <c r="C59" s="68"/>
      <c r="D59" s="1015" t="s">
        <v>1621</v>
      </c>
      <c r="E59" s="1016"/>
      <c r="F59" s="1016"/>
      <c r="G59" s="1016"/>
      <c r="H59" s="1016"/>
      <c r="I59" s="1016"/>
      <c r="J59" s="1017"/>
      <c r="K59" s="4"/>
    </row>
    <row r="60" spans="2:11">
      <c r="B60" s="1033"/>
      <c r="C60" s="68"/>
      <c r="D60" s="1015" t="s">
        <v>1622</v>
      </c>
      <c r="E60" s="1016"/>
      <c r="F60" s="1016"/>
      <c r="G60" s="1016"/>
      <c r="H60" s="1016"/>
      <c r="I60" s="1016"/>
      <c r="J60" s="1017"/>
      <c r="K60" s="4"/>
    </row>
    <row r="61" spans="2:11">
      <c r="B61" s="1033"/>
      <c r="C61" s="68"/>
      <c r="D61" s="1015" t="s">
        <v>1623</v>
      </c>
      <c r="E61" s="1016"/>
      <c r="F61" s="1016"/>
      <c r="G61" s="1016"/>
      <c r="H61" s="1016"/>
      <c r="I61" s="1016"/>
      <c r="J61" s="1017"/>
      <c r="K61" s="4"/>
    </row>
    <row r="62" spans="2:11" ht="24" customHeight="1">
      <c r="B62" s="1033"/>
      <c r="C62" s="68"/>
      <c r="D62" s="1015" t="s">
        <v>1624</v>
      </c>
      <c r="E62" s="1016"/>
      <c r="F62" s="1016"/>
      <c r="G62" s="1016"/>
      <c r="H62" s="1016"/>
      <c r="I62" s="1016"/>
      <c r="J62" s="1017"/>
      <c r="K62" s="4"/>
    </row>
    <row r="63" spans="2:11" ht="24" customHeight="1">
      <c r="B63" s="1033"/>
      <c r="C63" s="68"/>
      <c r="D63" s="1015" t="s">
        <v>1625</v>
      </c>
      <c r="E63" s="1016"/>
      <c r="F63" s="1016"/>
      <c r="G63" s="1016"/>
      <c r="H63" s="1016"/>
      <c r="I63" s="1016"/>
      <c r="J63" s="1017"/>
      <c r="K63" s="4"/>
    </row>
    <row r="64" spans="2:11">
      <c r="B64" s="1033"/>
      <c r="C64" s="68"/>
      <c r="D64" s="1015" t="s">
        <v>1626</v>
      </c>
      <c r="E64" s="1016"/>
      <c r="F64" s="1016"/>
      <c r="G64" s="1016"/>
      <c r="H64" s="1016"/>
      <c r="I64" s="1016"/>
      <c r="J64" s="1017"/>
      <c r="K64" s="4"/>
    </row>
    <row r="65" spans="2:11">
      <c r="B65" s="1033"/>
      <c r="C65" s="68"/>
      <c r="D65" s="1012" t="s">
        <v>1627</v>
      </c>
      <c r="E65" s="1013"/>
      <c r="F65" s="1013"/>
      <c r="G65" s="1013"/>
      <c r="H65" s="1013"/>
      <c r="I65" s="1013"/>
      <c r="J65" s="1014"/>
      <c r="K65" s="4"/>
    </row>
    <row r="66" spans="2:11" ht="15.75" thickBot="1">
      <c r="B66" s="1034"/>
      <c r="C66" s="69"/>
      <c r="D66" s="1044" t="s">
        <v>1628</v>
      </c>
      <c r="E66" s="1045"/>
      <c r="F66" s="1045"/>
      <c r="G66" s="1045"/>
      <c r="H66" s="1045"/>
      <c r="I66" s="1045"/>
      <c r="J66" s="1046"/>
      <c r="K66" s="4"/>
    </row>
    <row r="67" spans="2:11" ht="24.75" thickBot="1">
      <c r="B67" s="839" t="s">
        <v>1543</v>
      </c>
      <c r="C67" s="69"/>
      <c r="D67" s="1041"/>
      <c r="E67" s="1042"/>
      <c r="F67" s="1042"/>
      <c r="G67" s="1042"/>
      <c r="H67" s="1042"/>
      <c r="I67" s="1042"/>
      <c r="J67" s="1043"/>
      <c r="K67" s="4"/>
    </row>
    <row r="68" spans="2:11" ht="24.75" thickBot="1">
      <c r="B68" s="839" t="s">
        <v>1544</v>
      </c>
      <c r="C68" s="69"/>
      <c r="D68" s="1041" t="s">
        <v>1629</v>
      </c>
      <c r="E68" s="1042"/>
      <c r="F68" s="1042"/>
      <c r="G68" s="1042"/>
      <c r="H68" s="1042"/>
      <c r="I68" s="1042"/>
      <c r="J68" s="1043"/>
      <c r="K68" s="4"/>
    </row>
    <row r="69" spans="2:11">
      <c r="B69" s="1032" t="s">
        <v>1561</v>
      </c>
      <c r="C69" s="65"/>
      <c r="D69" s="1009"/>
      <c r="E69" s="1010"/>
      <c r="F69" s="1010"/>
      <c r="G69" s="1010"/>
      <c r="H69" s="1010"/>
      <c r="I69" s="1010"/>
      <c r="J69" s="1011"/>
      <c r="K69" s="4"/>
    </row>
    <row r="70" spans="2:11">
      <c r="B70" s="1033"/>
      <c r="C70" s="68"/>
      <c r="D70" s="1050"/>
      <c r="E70" s="1051"/>
      <c r="F70" s="1051"/>
      <c r="G70" s="1051"/>
      <c r="H70" s="1051"/>
      <c r="I70" s="1051"/>
      <c r="J70" s="1052"/>
      <c r="K70" s="4"/>
    </row>
    <row r="71" spans="2:11">
      <c r="B71" s="1033"/>
      <c r="C71" s="68"/>
      <c r="D71" s="1015" t="s">
        <v>1562</v>
      </c>
      <c r="E71" s="1016"/>
      <c r="F71" s="1016"/>
      <c r="G71" s="1016"/>
      <c r="H71" s="1016"/>
      <c r="I71" s="1016"/>
      <c r="J71" s="1017"/>
      <c r="K71" s="4"/>
    </row>
    <row r="72" spans="2:11" ht="26.45" customHeight="1">
      <c r="B72" s="1033"/>
      <c r="C72" s="68"/>
      <c r="D72" s="1015" t="s">
        <v>1630</v>
      </c>
      <c r="E72" s="1016"/>
      <c r="F72" s="1016"/>
      <c r="G72" s="1016"/>
      <c r="H72" s="1016"/>
      <c r="I72" s="1016"/>
      <c r="J72" s="1017"/>
      <c r="K72" s="4"/>
    </row>
    <row r="73" spans="2:11" ht="14.45" customHeight="1">
      <c r="B73" s="1033"/>
      <c r="C73" s="68"/>
      <c r="D73" s="1015" t="s">
        <v>1631</v>
      </c>
      <c r="E73" s="1016"/>
      <c r="F73" s="1016"/>
      <c r="G73" s="1016"/>
      <c r="H73" s="1016"/>
      <c r="I73" s="1016"/>
      <c r="J73" s="1017"/>
      <c r="K73" s="4"/>
    </row>
    <row r="74" spans="2:11" ht="14.45" customHeight="1">
      <c r="B74" s="1033"/>
      <c r="C74" s="68"/>
      <c r="D74" s="1015" t="s">
        <v>1632</v>
      </c>
      <c r="E74" s="1016"/>
      <c r="F74" s="1016"/>
      <c r="G74" s="1016"/>
      <c r="H74" s="1016"/>
      <c r="I74" s="1016"/>
      <c r="J74" s="1017"/>
      <c r="K74" s="4"/>
    </row>
    <row r="75" spans="2:11" ht="24" customHeight="1" thickBot="1">
      <c r="B75" s="1034"/>
      <c r="C75" s="69"/>
      <c r="D75" s="1044" t="s">
        <v>1633</v>
      </c>
      <c r="E75" s="1045"/>
      <c r="F75" s="1045"/>
      <c r="G75" s="1045"/>
      <c r="H75" s="1045"/>
      <c r="I75" s="1045"/>
      <c r="J75" s="1046"/>
      <c r="K75" s="4"/>
    </row>
    <row r="76" spans="2:11">
      <c r="B76" s="4"/>
      <c r="D76" s="4"/>
      <c r="E76" s="4"/>
      <c r="F76" s="4"/>
      <c r="G76" s="4"/>
      <c r="H76" s="4"/>
      <c r="I76" s="4"/>
      <c r="J76" s="4"/>
      <c r="K76" s="4"/>
    </row>
  </sheetData>
  <mergeCells count="44">
    <mergeCell ref="A1:P1"/>
    <mergeCell ref="A2:P2"/>
    <mergeCell ref="A3:P3"/>
    <mergeCell ref="A4:D4"/>
    <mergeCell ref="A5:P5"/>
    <mergeCell ref="B28:B34"/>
    <mergeCell ref="B36:E36"/>
    <mergeCell ref="B37:B43"/>
    <mergeCell ref="B15:B23"/>
    <mergeCell ref="D15:J15"/>
    <mergeCell ref="D19:J19"/>
    <mergeCell ref="D24:J24"/>
    <mergeCell ref="D25:J25"/>
    <mergeCell ref="B27:E27"/>
    <mergeCell ref="D67:J67"/>
    <mergeCell ref="B69:B75"/>
    <mergeCell ref="D69:J69"/>
    <mergeCell ref="D70:J70"/>
    <mergeCell ref="D71:J71"/>
    <mergeCell ref="D72:J72"/>
    <mergeCell ref="D73:J73"/>
    <mergeCell ref="D74:J74"/>
    <mergeCell ref="D75:J75"/>
    <mergeCell ref="B50:J50"/>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B10:D10"/>
    <mergeCell ref="F10:S10"/>
    <mergeCell ref="F11:S11"/>
    <mergeCell ref="E12:R12"/>
    <mergeCell ref="E13:R13"/>
  </mergeCells>
  <conditionalFormatting sqref="F10">
    <cfRule type="notContainsBlanks" dxfId="124" priority="4">
      <formula>LEN(TRIM(F10))&gt;0</formula>
    </cfRule>
  </conditionalFormatting>
  <conditionalFormatting sqref="F11:S11">
    <cfRule type="expression" dxfId="123" priority="2">
      <formula>E11="NO SE REPORTA"</formula>
    </cfRule>
    <cfRule type="expression" dxfId="122" priority="3">
      <formula>E10="NO APLICA"</formula>
    </cfRule>
  </conditionalFormatting>
  <conditionalFormatting sqref="E12:R12">
    <cfRule type="expression" dxfId="1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A00-000000000000}">
      <formula1>0</formula1>
    </dataValidation>
    <dataValidation allowBlank="1" showInputMessage="1" showErrorMessage="1" sqref="I21:I22" xr:uid="{00000000-0002-0000-0A00-000001000000}"/>
    <dataValidation type="list" allowBlank="1" showInputMessage="1" showErrorMessage="1" sqref="E11" xr:uid="{00000000-0002-0000-0A00-000002000000}">
      <formula1>REPORTE</formula1>
    </dataValidation>
    <dataValidation type="list" allowBlank="1" showInputMessage="1" showErrorMessage="1" sqref="E10" xr:uid="{00000000-0002-0000-0A00-000003000000}">
      <formula1>SI</formula1>
    </dataValidation>
  </dataValidations>
  <hyperlinks>
    <hyperlink ref="B9" location="'ANEXO 3'!A1" display="VOLVER AL INDICE" xr:uid="{00000000-0004-0000-0A00-000000000000}"/>
    <hyperlink ref="E32" r:id="rId1" xr:uid="{00000000-0004-0000-0A00-000001000000}"/>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75"/>
  <sheetViews>
    <sheetView showGridLines="0" zoomScale="98" zoomScaleNormal="98" workbookViewId="0">
      <selection activeCell="D17" sqref="D17"/>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5.140625" style="241" customWidth="1"/>
    <col min="6" max="8" width="10.7109375" style="241"/>
    <col min="9" max="9" width="24.28515625" style="241" customWidth="1"/>
    <col min="10"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731</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INFORMACION",+E22))</f>
        <v>1</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1634</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75" thickBot="1">
      <c r="B15" s="1032" t="s">
        <v>1449</v>
      </c>
      <c r="C15" s="65"/>
      <c r="D15" s="1009" t="s">
        <v>1450</v>
      </c>
      <c r="E15" s="1010"/>
      <c r="F15" s="1010"/>
      <c r="G15" s="1010"/>
      <c r="H15" s="1010"/>
      <c r="I15" s="1010"/>
      <c r="J15" s="1011"/>
      <c r="K15" s="4"/>
    </row>
    <row r="16" spans="1:21" ht="36.75" thickBot="1">
      <c r="B16" s="1033"/>
      <c r="C16" s="890"/>
      <c r="D16" s="842" t="s">
        <v>1635</v>
      </c>
      <c r="E16" s="160">
        <v>13</v>
      </c>
      <c r="F16" s="4"/>
      <c r="G16" s="4"/>
      <c r="H16" s="4"/>
      <c r="I16" s="4"/>
      <c r="J16" s="17"/>
      <c r="K16" s="4"/>
    </row>
    <row r="17" spans="2:11" ht="48.75" thickBot="1">
      <c r="B17" s="1033"/>
      <c r="C17" s="890"/>
      <c r="D17" s="845" t="s">
        <v>1636</v>
      </c>
      <c r="E17" s="160">
        <v>23</v>
      </c>
      <c r="F17" s="4"/>
      <c r="G17" s="4"/>
      <c r="H17" s="4"/>
      <c r="I17" s="4"/>
      <c r="J17" s="17"/>
      <c r="K17" s="4"/>
    </row>
    <row r="18" spans="2:11" ht="15.75" thickBot="1">
      <c r="B18" s="1033"/>
      <c r="C18" s="68"/>
      <c r="D18" s="1044"/>
      <c r="E18" s="1045"/>
      <c r="F18" s="1045"/>
      <c r="G18" s="1045"/>
      <c r="H18" s="1045"/>
      <c r="I18" s="1045"/>
      <c r="J18" s="1046"/>
      <c r="K18" s="4"/>
    </row>
    <row r="19" spans="2:11" ht="15.75" thickBot="1">
      <c r="B19" s="1033"/>
      <c r="C19" s="878" t="s">
        <v>1402</v>
      </c>
      <c r="D19" s="842" t="s">
        <v>1603</v>
      </c>
      <c r="E19" s="872" t="s">
        <v>1487</v>
      </c>
      <c r="F19" s="872" t="s">
        <v>1488</v>
      </c>
      <c r="G19" s="872" t="s">
        <v>1489</v>
      </c>
      <c r="H19" s="872" t="s">
        <v>1490</v>
      </c>
      <c r="I19" s="170" t="s">
        <v>1406</v>
      </c>
      <c r="J19" s="80"/>
      <c r="K19" s="4"/>
    </row>
    <row r="20" spans="2:11" ht="60.75" thickBot="1">
      <c r="B20" s="1033"/>
      <c r="C20" s="857" t="s">
        <v>1605</v>
      </c>
      <c r="D20" s="845" t="s">
        <v>1637</v>
      </c>
      <c r="E20" s="160">
        <v>23</v>
      </c>
      <c r="F20" s="160">
        <v>23</v>
      </c>
      <c r="G20" s="160">
        <v>23</v>
      </c>
      <c r="H20" s="160">
        <v>23</v>
      </c>
      <c r="I20" s="24" t="s">
        <v>1638</v>
      </c>
      <c r="J20" s="81"/>
      <c r="K20" s="4"/>
    </row>
    <row r="21" spans="2:11" ht="144.75" thickBot="1">
      <c r="B21" s="1033"/>
      <c r="C21" s="857" t="s">
        <v>1607</v>
      </c>
      <c r="D21" s="845" t="s">
        <v>1639</v>
      </c>
      <c r="E21" s="160">
        <v>23</v>
      </c>
      <c r="F21" s="160"/>
      <c r="G21" s="160"/>
      <c r="H21" s="160"/>
      <c r="I21" s="24" t="s">
        <v>1640</v>
      </c>
      <c r="J21" s="81"/>
      <c r="K21" s="4"/>
    </row>
    <row r="22" spans="2:11" ht="36.75" thickBot="1">
      <c r="B22" s="1034"/>
      <c r="C22" s="857" t="s">
        <v>1610</v>
      </c>
      <c r="D22" s="845" t="s">
        <v>1641</v>
      </c>
      <c r="E22" s="143">
        <f>IFERROR(E21/E20,"N.A.")</f>
        <v>1</v>
      </c>
      <c r="F22" s="143">
        <f>IFERROR(F21/F20,"N.A.")</f>
        <v>0</v>
      </c>
      <c r="G22" s="143">
        <f>IFERROR(G21/G20,"N.A.")</f>
        <v>0</v>
      </c>
      <c r="H22" s="143">
        <f>IFERROR(H21/H20,"N.A.")</f>
        <v>0</v>
      </c>
      <c r="I22" s="298"/>
      <c r="J22" s="82"/>
      <c r="K22" s="4"/>
    </row>
    <row r="23" spans="2:11" ht="24" customHeight="1" thickBot="1">
      <c r="B23" s="839" t="s">
        <v>1504</v>
      </c>
      <c r="C23" s="69"/>
      <c r="D23" s="1041" t="s">
        <v>1642</v>
      </c>
      <c r="E23" s="1042"/>
      <c r="F23" s="1042"/>
      <c r="G23" s="1042"/>
      <c r="H23" s="1042"/>
      <c r="I23" s="1042"/>
      <c r="J23" s="1043"/>
      <c r="K23" s="4"/>
    </row>
    <row r="24" spans="2:11" ht="24.75" thickBot="1">
      <c r="B24" s="839" t="s">
        <v>1506</v>
      </c>
      <c r="C24" s="69"/>
      <c r="D24" s="1041" t="s">
        <v>1613</v>
      </c>
      <c r="E24" s="1042"/>
      <c r="F24" s="1042"/>
      <c r="G24" s="1042"/>
      <c r="H24" s="1042"/>
      <c r="I24" s="1042"/>
      <c r="J24" s="1043"/>
      <c r="K24" s="4"/>
    </row>
    <row r="25" spans="2:11" ht="15.75" thickBot="1">
      <c r="B25" s="1"/>
      <c r="C25" s="55"/>
      <c r="D25" s="4"/>
      <c r="E25" s="4"/>
      <c r="F25" s="4"/>
      <c r="G25" s="4"/>
      <c r="H25" s="4"/>
      <c r="I25" s="4"/>
      <c r="J25" s="4"/>
      <c r="K25" s="4"/>
    </row>
    <row r="26" spans="2:11" ht="24" customHeight="1" thickBot="1">
      <c r="B26" s="1029" t="s">
        <v>1508</v>
      </c>
      <c r="C26" s="1030"/>
      <c r="D26" s="1030"/>
      <c r="E26" s="1031"/>
      <c r="F26" s="4"/>
      <c r="G26" s="4"/>
      <c r="H26" s="4"/>
      <c r="I26" s="4"/>
      <c r="J26" s="4"/>
      <c r="K26" s="4"/>
    </row>
    <row r="27" spans="2:11" ht="15.75" thickBot="1">
      <c r="B27" s="1032">
        <v>1</v>
      </c>
      <c r="C27" s="890"/>
      <c r="D27" s="37" t="s">
        <v>1509</v>
      </c>
      <c r="E27" s="25" t="s">
        <v>1510</v>
      </c>
      <c r="F27" s="4"/>
      <c r="G27" s="4"/>
      <c r="H27" s="4"/>
      <c r="I27" s="4"/>
      <c r="J27" s="4"/>
      <c r="K27" s="4"/>
    </row>
    <row r="28" spans="2:11" ht="36.75" thickBot="1">
      <c r="B28" s="1033"/>
      <c r="C28" s="890"/>
      <c r="D28" s="845" t="s">
        <v>10</v>
      </c>
      <c r="E28" s="24" t="s">
        <v>1643</v>
      </c>
      <c r="F28" s="4"/>
      <c r="G28" s="4"/>
      <c r="H28" s="4"/>
      <c r="I28" s="4"/>
      <c r="J28" s="4"/>
      <c r="K28" s="4"/>
    </row>
    <row r="29" spans="2:11" ht="15.75" thickBot="1">
      <c r="B29" s="1033"/>
      <c r="C29" s="890"/>
      <c r="D29" s="845" t="s">
        <v>1512</v>
      </c>
      <c r="E29" s="24" t="s">
        <v>1644</v>
      </c>
      <c r="F29" s="4"/>
      <c r="G29" s="4"/>
      <c r="H29" s="4"/>
      <c r="I29" s="4"/>
      <c r="J29" s="4"/>
      <c r="K29" s="4"/>
    </row>
    <row r="30" spans="2:11" ht="15.75" thickBot="1">
      <c r="B30" s="1033"/>
      <c r="C30" s="890"/>
      <c r="D30" s="845" t="s">
        <v>13</v>
      </c>
      <c r="E30" s="25" t="s">
        <v>1645</v>
      </c>
      <c r="F30" s="4"/>
      <c r="G30" s="4"/>
      <c r="H30" s="4"/>
      <c r="I30" s="4"/>
      <c r="J30" s="4"/>
      <c r="K30" s="4"/>
    </row>
    <row r="31" spans="2:11" ht="36" customHeight="1" thickBot="1">
      <c r="B31" s="1033"/>
      <c r="C31" s="890"/>
      <c r="D31" s="845" t="s">
        <v>16</v>
      </c>
      <c r="E31" s="704" t="s">
        <v>1646</v>
      </c>
      <c r="F31" s="4"/>
      <c r="G31" s="4"/>
      <c r="H31" s="4"/>
      <c r="I31" s="4"/>
      <c r="J31" s="4"/>
      <c r="K31" s="4"/>
    </row>
    <row r="32" spans="2:11" ht="15.75" thickBot="1">
      <c r="B32" s="1033"/>
      <c r="C32" s="890"/>
      <c r="D32" s="845" t="s">
        <v>19</v>
      </c>
      <c r="E32" s="24" t="s">
        <v>1647</v>
      </c>
      <c r="F32" s="4"/>
      <c r="G32" s="4"/>
      <c r="H32" s="4"/>
      <c r="I32" s="4"/>
      <c r="J32" s="4"/>
      <c r="K32" s="4"/>
    </row>
    <row r="33" spans="2:11" ht="24.75" thickBot="1">
      <c r="B33" s="1034"/>
      <c r="C33" s="857"/>
      <c r="D33" s="845" t="s">
        <v>1516</v>
      </c>
      <c r="E33" s="24" t="s">
        <v>1517</v>
      </c>
      <c r="F33" s="4"/>
      <c r="G33" s="4"/>
      <c r="H33" s="4"/>
      <c r="I33" s="4"/>
      <c r="J33" s="4"/>
      <c r="K33" s="4"/>
    </row>
    <row r="34" spans="2:11" ht="15.75" thickBot="1">
      <c r="B34" s="1"/>
      <c r="C34" s="55"/>
      <c r="D34" s="4"/>
      <c r="E34" s="4"/>
      <c r="F34" s="4"/>
      <c r="G34" s="4"/>
      <c r="H34" s="4"/>
      <c r="I34" s="4"/>
      <c r="J34" s="4"/>
      <c r="K34" s="4"/>
    </row>
    <row r="35" spans="2:11" ht="15.75" thickBot="1">
      <c r="B35" s="1029" t="s">
        <v>1518</v>
      </c>
      <c r="C35" s="1030"/>
      <c r="D35" s="1030"/>
      <c r="E35" s="1031"/>
      <c r="F35" s="4"/>
      <c r="G35" s="4"/>
      <c r="H35" s="4"/>
      <c r="I35" s="4"/>
      <c r="J35" s="4"/>
      <c r="K35" s="4"/>
    </row>
    <row r="36" spans="2:11" ht="15.75" thickBot="1">
      <c r="B36" s="1032">
        <v>1</v>
      </c>
      <c r="C36" s="890"/>
      <c r="D36" s="37" t="s">
        <v>1509</v>
      </c>
      <c r="E36" s="204" t="s">
        <v>1519</v>
      </c>
      <c r="F36" s="4"/>
      <c r="G36" s="4"/>
      <c r="H36" s="4"/>
      <c r="I36" s="4"/>
      <c r="J36" s="4"/>
      <c r="K36" s="4"/>
    </row>
    <row r="37" spans="2:11" ht="15.75" thickBot="1">
      <c r="B37" s="1033"/>
      <c r="C37" s="890"/>
      <c r="D37" s="845" t="s">
        <v>10</v>
      </c>
      <c r="E37" s="204" t="s">
        <v>1616</v>
      </c>
      <c r="F37" s="4"/>
      <c r="G37" s="4"/>
      <c r="H37" s="4"/>
      <c r="I37" s="4"/>
      <c r="J37" s="4"/>
      <c r="K37" s="4"/>
    </row>
    <row r="38" spans="2:11" ht="15.75" thickBot="1">
      <c r="B38" s="1033"/>
      <c r="C38" s="890"/>
      <c r="D38" s="845" t="s">
        <v>1512</v>
      </c>
      <c r="E38" s="211"/>
      <c r="F38" s="4"/>
      <c r="G38" s="4"/>
      <c r="H38" s="4"/>
      <c r="I38" s="4"/>
      <c r="J38" s="4"/>
      <c r="K38" s="4"/>
    </row>
    <row r="39" spans="2:11" ht="15.75" thickBot="1">
      <c r="B39" s="1033"/>
      <c r="C39" s="890"/>
      <c r="D39" s="845" t="s">
        <v>13</v>
      </c>
      <c r="E39" s="211"/>
      <c r="F39" s="4"/>
      <c r="G39" s="4"/>
      <c r="H39" s="4"/>
      <c r="I39" s="4"/>
      <c r="J39" s="4"/>
      <c r="K39" s="4"/>
    </row>
    <row r="40" spans="2:11" ht="15.75" thickBot="1">
      <c r="B40" s="1033"/>
      <c r="C40" s="890"/>
      <c r="D40" s="845" t="s">
        <v>16</v>
      </c>
      <c r="E40" s="211"/>
      <c r="F40" s="4"/>
      <c r="G40" s="4"/>
      <c r="H40" s="4"/>
      <c r="I40" s="4"/>
      <c r="J40" s="4"/>
      <c r="K40" s="4"/>
    </row>
    <row r="41" spans="2:11" ht="15.75" thickBot="1">
      <c r="B41" s="1033"/>
      <c r="C41" s="890"/>
      <c r="D41" s="845" t="s">
        <v>19</v>
      </c>
      <c r="E41" s="211"/>
      <c r="F41" s="4"/>
      <c r="G41" s="4"/>
      <c r="H41" s="4"/>
      <c r="I41" s="4"/>
      <c r="J41" s="4"/>
      <c r="K41" s="4"/>
    </row>
    <row r="42" spans="2:11" ht="15.75" thickBot="1">
      <c r="B42" s="1034"/>
      <c r="C42" s="857"/>
      <c r="D42" s="845" t="s">
        <v>1516</v>
      </c>
      <c r="E42" s="211"/>
      <c r="F42" s="4"/>
      <c r="G42" s="4"/>
      <c r="H42" s="4"/>
      <c r="I42" s="4"/>
      <c r="J42" s="4"/>
      <c r="K42" s="4"/>
    </row>
    <row r="43" spans="2:11" ht="15.75" thickBot="1">
      <c r="B43" s="1"/>
      <c r="C43" s="55"/>
      <c r="D43" s="4"/>
      <c r="E43" s="4"/>
      <c r="F43" s="4"/>
      <c r="G43" s="4"/>
      <c r="H43" s="4"/>
      <c r="I43" s="4"/>
      <c r="J43" s="4"/>
      <c r="K43" s="4"/>
    </row>
    <row r="44" spans="2:11" ht="15" customHeight="1" thickBot="1">
      <c r="B44" s="707" t="s">
        <v>1521</v>
      </c>
      <c r="C44" s="89"/>
      <c r="D44" s="89"/>
      <c r="E44" s="90"/>
      <c r="G44" s="4"/>
      <c r="H44" s="4"/>
      <c r="I44" s="4"/>
      <c r="J44" s="4"/>
      <c r="K44" s="4"/>
    </row>
    <row r="45" spans="2:11" ht="24.75" thickBot="1">
      <c r="B45" s="839" t="s">
        <v>1522</v>
      </c>
      <c r="C45" s="845" t="s">
        <v>1523</v>
      </c>
      <c r="D45" s="845" t="s">
        <v>1524</v>
      </c>
      <c r="E45" s="845" t="s">
        <v>1525</v>
      </c>
      <c r="F45" s="4"/>
      <c r="G45" s="4"/>
      <c r="H45" s="4"/>
      <c r="I45" s="4"/>
      <c r="J45" s="4"/>
    </row>
    <row r="46" spans="2:11" ht="72.75" thickBot="1">
      <c r="B46" s="38">
        <v>42401</v>
      </c>
      <c r="C46" s="845">
        <v>0.01</v>
      </c>
      <c r="D46" s="830" t="s">
        <v>1648</v>
      </c>
      <c r="E46" s="845"/>
      <c r="F46" s="4"/>
      <c r="G46" s="4"/>
      <c r="H46" s="4"/>
      <c r="I46" s="4"/>
      <c r="J46" s="4"/>
    </row>
    <row r="47" spans="2:11" ht="15.75" thickBot="1">
      <c r="B47" s="2"/>
      <c r="C47" s="70"/>
      <c r="D47" s="4"/>
      <c r="E47" s="4"/>
      <c r="F47" s="4"/>
      <c r="G47" s="4"/>
      <c r="H47" s="4"/>
      <c r="I47" s="4"/>
      <c r="J47" s="4"/>
      <c r="K47" s="4"/>
    </row>
    <row r="48" spans="2:11">
      <c r="B48" s="879" t="s">
        <v>1406</v>
      </c>
      <c r="C48" s="705"/>
      <c r="D48" s="4"/>
      <c r="E48" s="4"/>
      <c r="F48" s="4"/>
      <c r="G48" s="4"/>
      <c r="H48" s="4"/>
      <c r="I48" s="4"/>
      <c r="J48" s="4"/>
      <c r="K48" s="4"/>
    </row>
    <row r="49" spans="2:11">
      <c r="B49" s="1065"/>
      <c r="C49" s="1066"/>
      <c r="D49" s="1066"/>
      <c r="E49" s="1067"/>
      <c r="F49" s="4"/>
      <c r="G49" s="4"/>
      <c r="H49" s="4"/>
      <c r="I49" s="4"/>
      <c r="J49" s="4"/>
      <c r="K49" s="4"/>
    </row>
    <row r="50" spans="2:11" ht="15.75" thickBot="1">
      <c r="B50" s="4"/>
      <c r="D50" s="4"/>
      <c r="E50" s="4"/>
      <c r="F50" s="4"/>
      <c r="G50" s="4"/>
      <c r="H50" s="4"/>
      <c r="I50" s="4"/>
      <c r="J50" s="4"/>
      <c r="K50" s="4"/>
    </row>
    <row r="51" spans="2:11" ht="24.75" thickBot="1">
      <c r="B51" s="39" t="s">
        <v>1527</v>
      </c>
      <c r="C51" s="708"/>
      <c r="D51" s="4"/>
      <c r="E51" s="4"/>
      <c r="F51" s="4"/>
      <c r="G51" s="4"/>
      <c r="H51" s="4"/>
      <c r="I51" s="4"/>
      <c r="J51" s="4"/>
      <c r="K51" s="4"/>
    </row>
    <row r="52" spans="2:11" ht="15.75" thickBot="1">
      <c r="B52" s="1"/>
      <c r="C52" s="55"/>
      <c r="D52" s="4"/>
      <c r="E52" s="4"/>
      <c r="F52" s="4"/>
      <c r="G52" s="4"/>
      <c r="H52" s="4"/>
      <c r="I52" s="4"/>
      <c r="J52" s="4"/>
      <c r="K52" s="4"/>
    </row>
    <row r="53" spans="2:11" ht="60.75" thickBot="1">
      <c r="B53" s="40" t="s">
        <v>1528</v>
      </c>
      <c r="C53" s="878"/>
      <c r="D53" s="842" t="s">
        <v>1649</v>
      </c>
      <c r="E53" s="4"/>
      <c r="F53" s="4"/>
      <c r="G53" s="4"/>
      <c r="H53" s="4"/>
      <c r="I53" s="4"/>
      <c r="J53" s="4"/>
      <c r="K53" s="4"/>
    </row>
    <row r="54" spans="2:11">
      <c r="B54" s="1032" t="s">
        <v>1530</v>
      </c>
      <c r="C54" s="890"/>
      <c r="D54" s="836" t="s">
        <v>1531</v>
      </c>
      <c r="E54" s="4"/>
      <c r="F54" s="4"/>
      <c r="G54" s="4"/>
      <c r="H54" s="4"/>
      <c r="I54" s="4"/>
      <c r="J54" s="4"/>
      <c r="K54" s="4"/>
    </row>
    <row r="55" spans="2:11" ht="60">
      <c r="B55" s="1033"/>
      <c r="C55" s="890"/>
      <c r="D55" s="829" t="s">
        <v>1650</v>
      </c>
      <c r="E55" s="4"/>
      <c r="F55" s="4"/>
      <c r="G55" s="4"/>
      <c r="H55" s="4"/>
      <c r="I55" s="4"/>
      <c r="J55" s="4"/>
      <c r="K55" s="4"/>
    </row>
    <row r="56" spans="2:11">
      <c r="B56" s="1033"/>
      <c r="C56" s="890"/>
      <c r="D56" s="836" t="s">
        <v>1620</v>
      </c>
      <c r="E56" s="4"/>
      <c r="F56" s="4"/>
      <c r="G56" s="4"/>
      <c r="H56" s="4"/>
      <c r="I56" s="4"/>
      <c r="J56" s="4"/>
      <c r="K56" s="4"/>
    </row>
    <row r="57" spans="2:11">
      <c r="B57" s="1033"/>
      <c r="C57" s="890"/>
      <c r="D57" s="829" t="s">
        <v>1535</v>
      </c>
      <c r="E57" s="4"/>
      <c r="F57" s="4"/>
      <c r="G57" s="4"/>
      <c r="H57" s="4"/>
      <c r="I57" s="4"/>
      <c r="J57" s="4"/>
      <c r="K57" s="4"/>
    </row>
    <row r="58" spans="2:11">
      <c r="B58" s="1033"/>
      <c r="C58" s="890"/>
      <c r="D58" s="829" t="s">
        <v>1651</v>
      </c>
      <c r="E58" s="4"/>
      <c r="F58" s="4"/>
      <c r="G58" s="4"/>
      <c r="H58" s="4"/>
      <c r="I58" s="4"/>
      <c r="J58" s="4"/>
      <c r="K58" s="4"/>
    </row>
    <row r="59" spans="2:11">
      <c r="B59" s="1033"/>
      <c r="C59" s="890"/>
      <c r="D59" s="829" t="s">
        <v>1652</v>
      </c>
      <c r="E59" s="4"/>
      <c r="F59" s="4"/>
      <c r="G59" s="4"/>
      <c r="H59" s="4"/>
      <c r="I59" s="4"/>
      <c r="J59" s="4"/>
      <c r="K59" s="4"/>
    </row>
    <row r="60" spans="2:11">
      <c r="B60" s="1033"/>
      <c r="C60" s="890"/>
      <c r="D60" s="829" t="s">
        <v>1653</v>
      </c>
      <c r="E60" s="4"/>
      <c r="F60" s="4"/>
      <c r="G60" s="4"/>
      <c r="H60" s="4"/>
      <c r="I60" s="4"/>
      <c r="J60" s="4"/>
      <c r="K60" s="4"/>
    </row>
    <row r="61" spans="2:11">
      <c r="B61" s="1033"/>
      <c r="C61" s="890"/>
      <c r="D61" s="829" t="s">
        <v>1654</v>
      </c>
      <c r="E61" s="4"/>
      <c r="F61" s="4"/>
      <c r="G61" s="4"/>
      <c r="H61" s="4"/>
      <c r="I61" s="4"/>
      <c r="J61" s="4"/>
      <c r="K61" s="4"/>
    </row>
    <row r="62" spans="2:11" ht="15.75" thickBot="1">
      <c r="B62" s="1034"/>
      <c r="C62" s="857"/>
      <c r="D62" s="830"/>
      <c r="E62" s="4"/>
      <c r="F62" s="4"/>
      <c r="G62" s="4"/>
      <c r="H62" s="4"/>
      <c r="I62" s="4"/>
      <c r="J62" s="4"/>
      <c r="K62" s="4"/>
    </row>
    <row r="63" spans="2:11" ht="24.75" thickBot="1">
      <c r="B63" s="839" t="s">
        <v>1543</v>
      </c>
      <c r="C63" s="857"/>
      <c r="D63" s="845"/>
      <c r="E63" s="4"/>
      <c r="F63" s="4"/>
      <c r="G63" s="4"/>
      <c r="H63" s="4"/>
      <c r="I63" s="4"/>
      <c r="J63" s="4"/>
      <c r="K63" s="4"/>
    </row>
    <row r="64" spans="2:11" ht="108">
      <c r="B64" s="1032" t="s">
        <v>1544</v>
      </c>
      <c r="C64" s="890"/>
      <c r="D64" s="829" t="s">
        <v>1655</v>
      </c>
      <c r="E64" s="4"/>
      <c r="F64" s="4"/>
      <c r="G64" s="4"/>
      <c r="H64" s="4"/>
      <c r="I64" s="4"/>
      <c r="J64" s="4"/>
      <c r="K64" s="4"/>
    </row>
    <row r="65" spans="2:11" ht="96">
      <c r="B65" s="1033"/>
      <c r="C65" s="890"/>
      <c r="D65" s="829" t="s">
        <v>1656</v>
      </c>
      <c r="E65" s="4"/>
      <c r="F65" s="4"/>
      <c r="G65" s="4"/>
      <c r="H65" s="4"/>
      <c r="I65" s="4"/>
      <c r="J65" s="4"/>
      <c r="K65" s="4"/>
    </row>
    <row r="66" spans="2:11" ht="120.75" thickBot="1">
      <c r="B66" s="1034"/>
      <c r="C66" s="857"/>
      <c r="D66" s="845" t="s">
        <v>1657</v>
      </c>
      <c r="E66" s="4"/>
      <c r="F66" s="4"/>
      <c r="G66" s="4"/>
      <c r="H66" s="4"/>
      <c r="I66" s="4"/>
      <c r="J66" s="4"/>
      <c r="K66" s="4"/>
    </row>
    <row r="67" spans="2:11">
      <c r="B67" s="1032" t="s">
        <v>1561</v>
      </c>
      <c r="C67" s="890"/>
      <c r="D67" s="829"/>
      <c r="E67" s="4"/>
      <c r="F67" s="4"/>
      <c r="G67" s="4"/>
      <c r="H67" s="4"/>
      <c r="I67" s="4"/>
      <c r="J67" s="4"/>
      <c r="K67" s="4"/>
    </row>
    <row r="68" spans="2:11">
      <c r="B68" s="1033"/>
      <c r="C68" s="890"/>
      <c r="D68" s="826"/>
      <c r="E68" s="4"/>
      <c r="F68" s="4"/>
      <c r="G68" s="4"/>
      <c r="H68" s="4"/>
      <c r="I68" s="4"/>
      <c r="J68" s="4"/>
      <c r="K68" s="4"/>
    </row>
    <row r="69" spans="2:11">
      <c r="B69" s="1033"/>
      <c r="C69" s="890"/>
      <c r="D69" s="829" t="s">
        <v>1562</v>
      </c>
      <c r="E69" s="4"/>
      <c r="F69" s="4"/>
      <c r="G69" s="4"/>
      <c r="H69" s="4"/>
      <c r="I69" s="4"/>
      <c r="J69" s="4"/>
      <c r="K69" s="4"/>
    </row>
    <row r="70" spans="2:11" ht="37.5">
      <c r="B70" s="1033"/>
      <c r="C70" s="890"/>
      <c r="D70" s="829" t="s">
        <v>1658</v>
      </c>
      <c r="E70" s="4"/>
      <c r="F70" s="4"/>
      <c r="G70" s="4"/>
      <c r="H70" s="4"/>
      <c r="I70" s="4"/>
      <c r="J70" s="4"/>
      <c r="K70" s="4"/>
    </row>
    <row r="71" spans="2:11" ht="37.5">
      <c r="B71" s="1033"/>
      <c r="C71" s="890"/>
      <c r="D71" s="829" t="s">
        <v>1659</v>
      </c>
      <c r="E71" s="4"/>
      <c r="F71" s="4"/>
      <c r="G71" s="4"/>
      <c r="H71" s="4"/>
      <c r="I71" s="4"/>
      <c r="J71" s="4"/>
      <c r="K71" s="4"/>
    </row>
    <row r="72" spans="2:11" ht="37.5">
      <c r="B72" s="1033"/>
      <c r="C72" s="890"/>
      <c r="D72" s="829" t="s">
        <v>1660</v>
      </c>
      <c r="E72" s="4"/>
      <c r="F72" s="4"/>
      <c r="G72" s="4"/>
      <c r="H72" s="4"/>
      <c r="I72" s="4"/>
      <c r="J72" s="4"/>
      <c r="K72" s="4"/>
    </row>
    <row r="73" spans="2:11" ht="48.75" thickBot="1">
      <c r="B73" s="1034"/>
      <c r="C73" s="857"/>
      <c r="D73" s="845" t="s">
        <v>1661</v>
      </c>
      <c r="E73" s="4"/>
      <c r="F73" s="4"/>
      <c r="G73" s="4"/>
      <c r="H73" s="4"/>
      <c r="I73" s="4"/>
      <c r="J73" s="4"/>
      <c r="K73" s="4"/>
    </row>
    <row r="74" spans="2:11">
      <c r="B74" s="4"/>
      <c r="D74" s="4"/>
      <c r="E74" s="4"/>
      <c r="F74" s="4"/>
      <c r="G74" s="4"/>
      <c r="H74" s="4"/>
      <c r="I74" s="4"/>
      <c r="J74" s="4"/>
      <c r="K74" s="4"/>
    </row>
    <row r="75" spans="2:11">
      <c r="B75" s="4"/>
      <c r="D75" s="4"/>
      <c r="E75" s="4"/>
      <c r="F75" s="4"/>
      <c r="G75" s="4"/>
      <c r="H75" s="4"/>
      <c r="I75" s="4"/>
      <c r="J75" s="4"/>
      <c r="K75" s="4"/>
    </row>
  </sheetData>
  <mergeCells count="23">
    <mergeCell ref="A1:P1"/>
    <mergeCell ref="A2:P2"/>
    <mergeCell ref="A3:P3"/>
    <mergeCell ref="A4:D4"/>
    <mergeCell ref="A5:P5"/>
    <mergeCell ref="B67:B73"/>
    <mergeCell ref="B15:B22"/>
    <mergeCell ref="D23:J23"/>
    <mergeCell ref="D24:J24"/>
    <mergeCell ref="B26:E26"/>
    <mergeCell ref="B27:B33"/>
    <mergeCell ref="B35:E35"/>
    <mergeCell ref="D15:J15"/>
    <mergeCell ref="D18:J18"/>
    <mergeCell ref="B36:B42"/>
    <mergeCell ref="B54:B62"/>
    <mergeCell ref="B64:B66"/>
    <mergeCell ref="B49:E49"/>
    <mergeCell ref="B10:D10"/>
    <mergeCell ref="F10:S10"/>
    <mergeCell ref="F11:S11"/>
    <mergeCell ref="E12:R12"/>
    <mergeCell ref="E13:R13"/>
  </mergeCells>
  <conditionalFormatting sqref="F10">
    <cfRule type="notContainsBlanks" dxfId="120" priority="4">
      <formula>LEN(TRIM(F10))&gt;0</formula>
    </cfRule>
  </conditionalFormatting>
  <conditionalFormatting sqref="F11:S11">
    <cfRule type="expression" dxfId="119" priority="2">
      <formula>E11="NO SE REPORTA"</formula>
    </cfRule>
    <cfRule type="expression" dxfId="118" priority="3">
      <formula>E10="NO APLICA"</formula>
    </cfRule>
  </conditionalFormatting>
  <conditionalFormatting sqref="E12:R12">
    <cfRule type="expression" dxfId="117"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B00-000000000000}">
      <formula1>0</formula1>
    </dataValidation>
    <dataValidation type="list" allowBlank="1" showInputMessage="1" showErrorMessage="1" sqref="E11" xr:uid="{00000000-0002-0000-0B00-000001000000}">
      <formula1>REPORTE</formula1>
    </dataValidation>
    <dataValidation type="list" allowBlank="1" showInputMessage="1" showErrorMessage="1" sqref="E10" xr:uid="{00000000-0002-0000-0B00-000002000000}">
      <formula1>SI</formula1>
    </dataValidation>
  </dataValidations>
  <hyperlinks>
    <hyperlink ref="B9" location="'ANEXO 3'!A1" display="VOLVER AL INDICE" xr:uid="{00000000-0004-0000-0B00-000000000000}"/>
    <hyperlink ref="E31" r:id="rId1" xr:uid="{00000000-0004-0000-0B00-000001000000}"/>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U75"/>
  <sheetViews>
    <sheetView showGridLines="0" topLeftCell="A4" zoomScale="98" zoomScaleNormal="98" workbookViewId="0">
      <selection activeCell="A5" sqref="A5:P5"/>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733</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t="str">
        <f>+E23</f>
        <v>N.A.</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1662</v>
      </c>
      <c r="F12" s="1056"/>
      <c r="G12" s="1056"/>
      <c r="H12" s="1056"/>
      <c r="I12" s="1056"/>
      <c r="J12" s="1056"/>
      <c r="K12" s="1056"/>
      <c r="L12" s="1056"/>
      <c r="M12" s="1056"/>
      <c r="N12" s="1056"/>
      <c r="O12" s="1056"/>
      <c r="P12" s="1056"/>
      <c r="Q12" s="1056"/>
      <c r="R12" s="1056"/>
    </row>
    <row r="13" spans="1:21" ht="29.25" customHeight="1">
      <c r="B13" s="300"/>
      <c r="C13" s="64"/>
      <c r="D13" s="132" t="s">
        <v>1447</v>
      </c>
      <c r="E13" s="1057" t="s">
        <v>1663</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75" thickBot="1">
      <c r="B15" s="1032" t="s">
        <v>1449</v>
      </c>
      <c r="C15" s="65"/>
      <c r="D15" s="1009" t="s">
        <v>1450</v>
      </c>
      <c r="E15" s="1010"/>
      <c r="F15" s="1010"/>
      <c r="G15" s="1010"/>
      <c r="H15" s="1010"/>
      <c r="I15" s="1010"/>
      <c r="J15" s="1011"/>
      <c r="K15" s="4"/>
    </row>
    <row r="16" spans="1:21" ht="24.75" thickBot="1">
      <c r="B16" s="1033"/>
      <c r="C16" s="890"/>
      <c r="D16" s="842" t="s">
        <v>1664</v>
      </c>
      <c r="E16" s="160">
        <v>17</v>
      </c>
      <c r="F16" s="4"/>
      <c r="G16" s="4"/>
      <c r="H16" s="4"/>
      <c r="I16" s="4"/>
      <c r="J16" s="17"/>
      <c r="K16" s="4"/>
    </row>
    <row r="17" spans="2:11" ht="40.5" customHeight="1" thickBot="1">
      <c r="B17" s="1033"/>
      <c r="C17" s="890"/>
      <c r="D17" s="845" t="s">
        <v>1665</v>
      </c>
      <c r="E17" s="160">
        <v>1</v>
      </c>
      <c r="F17" s="4"/>
      <c r="G17" s="4"/>
      <c r="H17" s="4"/>
      <c r="I17" s="4"/>
      <c r="J17" s="17"/>
      <c r="K17" s="4"/>
    </row>
    <row r="18" spans="2:11" ht="36.75" thickBot="1">
      <c r="B18" s="1033"/>
      <c r="C18" s="890"/>
      <c r="D18" s="845" t="s">
        <v>1666</v>
      </c>
      <c r="E18" s="160">
        <v>0</v>
      </c>
      <c r="F18" s="31"/>
      <c r="G18" s="4"/>
      <c r="H18" s="4"/>
      <c r="I18" s="4"/>
      <c r="J18" s="17"/>
      <c r="K18" s="4"/>
    </row>
    <row r="19" spans="2:11" ht="15.75" thickBot="1">
      <c r="B19" s="1033"/>
      <c r="C19" s="68"/>
      <c r="D19" s="1044"/>
      <c r="E19" s="1045"/>
      <c r="F19" s="1045"/>
      <c r="G19" s="1045"/>
      <c r="H19" s="1045"/>
      <c r="I19" s="1045"/>
      <c r="J19" s="1046"/>
      <c r="K19" s="4"/>
    </row>
    <row r="20" spans="2:11" ht="15.75" thickBot="1">
      <c r="B20" s="1033"/>
      <c r="C20" s="878" t="s">
        <v>1402</v>
      </c>
      <c r="D20" s="842" t="s">
        <v>1603</v>
      </c>
      <c r="E20" s="872" t="s">
        <v>1487</v>
      </c>
      <c r="F20" s="872" t="s">
        <v>1488</v>
      </c>
      <c r="G20" s="872" t="s">
        <v>1489</v>
      </c>
      <c r="H20" s="872" t="s">
        <v>1490</v>
      </c>
      <c r="I20" s="872" t="s">
        <v>1604</v>
      </c>
      <c r="J20" s="80"/>
      <c r="K20" s="4"/>
    </row>
    <row r="21" spans="2:11" ht="36.75" thickBot="1">
      <c r="B21" s="1033"/>
      <c r="C21" s="857" t="s">
        <v>1605</v>
      </c>
      <c r="D21" s="845" t="s">
        <v>1667</v>
      </c>
      <c r="E21" s="160">
        <v>0</v>
      </c>
      <c r="F21" s="160">
        <v>0</v>
      </c>
      <c r="G21" s="160">
        <v>0</v>
      </c>
      <c r="H21" s="160">
        <v>0</v>
      </c>
      <c r="I21" s="34">
        <f>SUM(E21:H21)</f>
        <v>0</v>
      </c>
      <c r="J21" s="81"/>
      <c r="K21" s="4"/>
    </row>
    <row r="22" spans="2:11" ht="36.75" thickBot="1">
      <c r="B22" s="1033"/>
      <c r="C22" s="857" t="s">
        <v>1607</v>
      </c>
      <c r="D22" s="845" t="s">
        <v>1668</v>
      </c>
      <c r="E22" s="160">
        <v>0</v>
      </c>
      <c r="F22" s="160"/>
      <c r="G22" s="160"/>
      <c r="H22" s="160"/>
      <c r="I22" s="34">
        <f>SUM(E22:H22)</f>
        <v>0</v>
      </c>
      <c r="J22" s="81"/>
      <c r="K22" s="4"/>
    </row>
    <row r="23" spans="2:11" ht="36.75" thickBot="1">
      <c r="B23" s="1034"/>
      <c r="C23" s="857" t="s">
        <v>1610</v>
      </c>
      <c r="D23" s="845" t="s">
        <v>1669</v>
      </c>
      <c r="E23" s="143" t="str">
        <f>IFERROR(E22/E21,"N.A.")</f>
        <v>N.A.</v>
      </c>
      <c r="F23" s="143" t="str">
        <f>IFERROR(F22/F21,"N.A.")</f>
        <v>N.A.</v>
      </c>
      <c r="G23" s="143" t="str">
        <f>IFERROR(G22/G21,"N.A.")</f>
        <v>N.A.</v>
      </c>
      <c r="H23" s="143" t="str">
        <f>IFERROR(H22/H21,"N.A.")</f>
        <v>N.A.</v>
      </c>
      <c r="I23" s="143" t="str">
        <f>IFERROR(I22/I21,"N.A.")</f>
        <v>N.A.</v>
      </c>
      <c r="J23" s="82"/>
      <c r="K23" s="4"/>
    </row>
    <row r="24" spans="2:11" ht="24" customHeight="1" thickBot="1">
      <c r="B24" s="839" t="s">
        <v>1504</v>
      </c>
      <c r="C24" s="69"/>
      <c r="D24" s="1041" t="s">
        <v>1670</v>
      </c>
      <c r="E24" s="1042"/>
      <c r="F24" s="1042"/>
      <c r="G24" s="1042"/>
      <c r="H24" s="1042"/>
      <c r="I24" s="1042"/>
      <c r="J24" s="1043"/>
      <c r="K24" s="4"/>
    </row>
    <row r="25" spans="2:11" ht="24.75" thickBot="1">
      <c r="B25" s="839" t="s">
        <v>1506</v>
      </c>
      <c r="C25" s="69"/>
      <c r="D25" s="1041" t="s">
        <v>1613</v>
      </c>
      <c r="E25" s="1042"/>
      <c r="F25" s="1042"/>
      <c r="G25" s="1042"/>
      <c r="H25" s="1042"/>
      <c r="I25" s="1042"/>
      <c r="J25" s="1043"/>
      <c r="K25" s="4"/>
    </row>
    <row r="26" spans="2:11" ht="15.75" thickBot="1">
      <c r="B26" s="1"/>
      <c r="C26" s="55"/>
      <c r="D26" s="4"/>
      <c r="E26" s="4"/>
      <c r="F26" s="4"/>
      <c r="G26" s="4"/>
      <c r="H26" s="4"/>
      <c r="I26" s="4"/>
      <c r="J26" s="4"/>
      <c r="K26" s="4"/>
    </row>
    <row r="27" spans="2:11" ht="15" customHeight="1" thickBot="1">
      <c r="B27" s="88" t="s">
        <v>1508</v>
      </c>
      <c r="C27" s="89"/>
      <c r="D27" s="89"/>
      <c r="E27" s="89"/>
      <c r="F27" s="90"/>
      <c r="G27" s="4"/>
      <c r="H27" s="4"/>
      <c r="I27" s="4"/>
      <c r="J27" s="4"/>
      <c r="K27" s="4"/>
    </row>
    <row r="28" spans="2:11" ht="15.75" thickBot="1">
      <c r="B28" s="1032">
        <v>1</v>
      </c>
      <c r="C28" s="890"/>
      <c r="D28" s="37" t="s">
        <v>1509</v>
      </c>
      <c r="E28" s="121" t="s">
        <v>1510</v>
      </c>
      <c r="F28" s="45"/>
      <c r="G28" s="4"/>
      <c r="H28" s="4"/>
      <c r="I28" s="4"/>
      <c r="J28" s="4"/>
      <c r="K28" s="4"/>
    </row>
    <row r="29" spans="2:11" ht="24.75" thickBot="1">
      <c r="B29" s="1033"/>
      <c r="C29" s="890"/>
      <c r="D29" s="845" t="s">
        <v>10</v>
      </c>
      <c r="E29" s="275" t="s">
        <v>1511</v>
      </c>
      <c r="F29" s="45"/>
      <c r="G29" s="4"/>
      <c r="H29" s="4"/>
      <c r="I29" s="4"/>
      <c r="J29" s="4"/>
      <c r="K29" s="4"/>
    </row>
    <row r="30" spans="2:11" ht="24.75" thickBot="1">
      <c r="B30" s="1033"/>
      <c r="C30" s="890"/>
      <c r="D30" s="845" t="s">
        <v>1512</v>
      </c>
      <c r="E30" s="275" t="s">
        <v>1615</v>
      </c>
      <c r="F30" s="45"/>
      <c r="G30" s="4"/>
      <c r="H30" s="4"/>
      <c r="I30" s="4"/>
      <c r="J30" s="4"/>
      <c r="K30" s="4"/>
    </row>
    <row r="31" spans="2:11" ht="15.75" thickBot="1">
      <c r="B31" s="1033"/>
      <c r="C31" s="890"/>
      <c r="D31" s="845" t="s">
        <v>13</v>
      </c>
      <c r="E31" s="121" t="s">
        <v>1514</v>
      </c>
      <c r="F31" s="45"/>
      <c r="G31" s="4"/>
      <c r="H31" s="4"/>
      <c r="I31" s="4"/>
      <c r="J31" s="4"/>
      <c r="K31" s="4"/>
    </row>
    <row r="32" spans="2:11" ht="45.75" thickBot="1">
      <c r="B32" s="1033"/>
      <c r="C32" s="890"/>
      <c r="D32" s="845" t="s">
        <v>16</v>
      </c>
      <c r="E32" s="709" t="s">
        <v>1515</v>
      </c>
      <c r="F32" s="45"/>
      <c r="G32" s="4"/>
      <c r="H32" s="4"/>
      <c r="I32" s="4"/>
      <c r="J32" s="4"/>
      <c r="K32" s="4"/>
    </row>
    <row r="33" spans="2:11" ht="15.75" thickBot="1">
      <c r="B33" s="1033"/>
      <c r="C33" s="890"/>
      <c r="D33" s="845" t="s">
        <v>19</v>
      </c>
      <c r="E33" s="121">
        <v>3686626</v>
      </c>
      <c r="F33" s="45"/>
      <c r="G33" s="4"/>
      <c r="H33" s="4"/>
      <c r="I33" s="4"/>
      <c r="J33" s="4"/>
      <c r="K33" s="4"/>
    </row>
    <row r="34" spans="2:11" ht="24.75" thickBot="1">
      <c r="B34" s="1034"/>
      <c r="C34" s="857"/>
      <c r="D34" s="845" t="s">
        <v>1516</v>
      </c>
      <c r="E34" s="275" t="s">
        <v>1517</v>
      </c>
      <c r="F34" s="45"/>
      <c r="G34" s="4"/>
      <c r="H34" s="4"/>
      <c r="I34" s="4"/>
      <c r="J34" s="4"/>
      <c r="K34" s="4"/>
    </row>
    <row r="35" spans="2:11" ht="15.75" thickBot="1">
      <c r="B35" s="1"/>
      <c r="C35" s="55"/>
      <c r="D35" s="4"/>
      <c r="E35" s="4"/>
      <c r="F35" s="4"/>
      <c r="G35" s="4"/>
      <c r="H35" s="4"/>
      <c r="I35" s="4"/>
      <c r="J35" s="4"/>
      <c r="K35" s="4"/>
    </row>
    <row r="36" spans="2:11" ht="15" customHeight="1" thickBot="1">
      <c r="B36" s="88" t="s">
        <v>1518</v>
      </c>
      <c r="C36" s="89"/>
      <c r="D36" s="89"/>
      <c r="E36" s="89"/>
      <c r="F36" s="90"/>
      <c r="G36" s="4"/>
      <c r="H36" s="4"/>
      <c r="I36" s="4"/>
      <c r="J36" s="4"/>
      <c r="K36" s="4"/>
    </row>
    <row r="37" spans="2:11" ht="15.75" thickBot="1">
      <c r="B37" s="1032">
        <v>1</v>
      </c>
      <c r="C37" s="890"/>
      <c r="D37" s="37" t="s">
        <v>1509</v>
      </c>
      <c r="E37" s="204" t="s">
        <v>1519</v>
      </c>
      <c r="F37" s="45"/>
      <c r="G37" s="4"/>
      <c r="H37" s="4"/>
      <c r="I37" s="4"/>
      <c r="J37" s="4"/>
      <c r="K37" s="4"/>
    </row>
    <row r="38" spans="2:11" ht="15.75" thickBot="1">
      <c r="B38" s="1033"/>
      <c r="C38" s="890"/>
      <c r="D38" s="845" t="s">
        <v>10</v>
      </c>
      <c r="E38" s="204" t="s">
        <v>1616</v>
      </c>
      <c r="F38" s="45"/>
      <c r="G38" s="4"/>
      <c r="H38" s="4"/>
      <c r="I38" s="4"/>
      <c r="J38" s="4"/>
      <c r="K38" s="4"/>
    </row>
    <row r="39" spans="2:11" ht="15.75" thickBot="1">
      <c r="B39" s="1033"/>
      <c r="C39" s="890"/>
      <c r="D39" s="845" t="s">
        <v>1512</v>
      </c>
      <c r="E39" s="211"/>
      <c r="F39" s="45"/>
      <c r="G39" s="4"/>
      <c r="H39" s="4"/>
      <c r="I39" s="4"/>
      <c r="J39" s="4"/>
      <c r="K39" s="4"/>
    </row>
    <row r="40" spans="2:11" ht="15.75" thickBot="1">
      <c r="B40" s="1033"/>
      <c r="C40" s="890"/>
      <c r="D40" s="845" t="s">
        <v>13</v>
      </c>
      <c r="E40" s="211"/>
      <c r="F40" s="45"/>
      <c r="G40" s="4"/>
      <c r="H40" s="4"/>
      <c r="I40" s="4"/>
      <c r="J40" s="4"/>
      <c r="K40" s="4"/>
    </row>
    <row r="41" spans="2:11" ht="15.75" thickBot="1">
      <c r="B41" s="1033"/>
      <c r="C41" s="890"/>
      <c r="D41" s="845" t="s">
        <v>16</v>
      </c>
      <c r="E41" s="211"/>
      <c r="F41" s="45"/>
      <c r="G41" s="4"/>
      <c r="H41" s="4"/>
      <c r="I41" s="4"/>
      <c r="J41" s="4"/>
      <c r="K41" s="4"/>
    </row>
    <row r="42" spans="2:11" ht="15.75" thickBot="1">
      <c r="B42" s="1033"/>
      <c r="C42" s="890"/>
      <c r="D42" s="845" t="s">
        <v>19</v>
      </c>
      <c r="E42" s="211"/>
      <c r="F42" s="45"/>
      <c r="G42" s="4"/>
      <c r="H42" s="4"/>
      <c r="I42" s="4"/>
      <c r="J42" s="4"/>
      <c r="K42" s="4"/>
    </row>
    <row r="43" spans="2:11" ht="15.75" thickBot="1">
      <c r="B43" s="1034"/>
      <c r="C43" s="857"/>
      <c r="D43" s="845" t="s">
        <v>1516</v>
      </c>
      <c r="E43" s="211"/>
      <c r="F43" s="45"/>
      <c r="G43" s="4"/>
      <c r="H43" s="4"/>
      <c r="I43" s="4"/>
      <c r="J43" s="4"/>
      <c r="K43" s="4"/>
    </row>
    <row r="44" spans="2:11" ht="15.75" thickBot="1">
      <c r="B44" s="1"/>
      <c r="C44" s="55"/>
      <c r="D44" s="4"/>
      <c r="E44" s="4"/>
      <c r="F44" s="4"/>
      <c r="G44" s="4"/>
      <c r="H44" s="4"/>
      <c r="I44" s="4"/>
      <c r="J44" s="4"/>
      <c r="K44" s="4"/>
    </row>
    <row r="45" spans="2:11" ht="15" customHeight="1" thickBot="1">
      <c r="B45" s="88" t="s">
        <v>1521</v>
      </c>
      <c r="C45" s="89"/>
      <c r="D45" s="89"/>
      <c r="E45" s="90"/>
      <c r="G45" s="4"/>
      <c r="H45" s="4"/>
      <c r="I45" s="4"/>
      <c r="J45" s="4"/>
      <c r="K45" s="4"/>
    </row>
    <row r="46" spans="2:11" ht="24.75" thickBot="1">
      <c r="B46" s="839" t="s">
        <v>1522</v>
      </c>
      <c r="C46" s="845" t="s">
        <v>1523</v>
      </c>
      <c r="D46" s="845" t="s">
        <v>1524</v>
      </c>
      <c r="E46" s="845" t="s">
        <v>1525</v>
      </c>
      <c r="F46" s="4"/>
      <c r="G46" s="4"/>
      <c r="H46" s="4"/>
      <c r="I46" s="4"/>
      <c r="J46" s="4"/>
    </row>
    <row r="47" spans="2:11" ht="72.75" thickBot="1">
      <c r="B47" s="38">
        <v>42401</v>
      </c>
      <c r="C47" s="845">
        <v>0.01</v>
      </c>
      <c r="D47" s="830" t="s">
        <v>1671</v>
      </c>
      <c r="E47" s="845"/>
      <c r="F47" s="4"/>
      <c r="G47" s="4"/>
      <c r="H47" s="4"/>
      <c r="I47" s="4"/>
      <c r="J47" s="4"/>
    </row>
    <row r="48" spans="2:11" ht="15.75" thickBot="1">
      <c r="B48" s="2"/>
      <c r="C48" s="70"/>
      <c r="D48" s="4"/>
      <c r="E48" s="4"/>
      <c r="F48" s="4"/>
      <c r="G48" s="4"/>
      <c r="H48" s="4"/>
      <c r="I48" s="4"/>
      <c r="J48" s="4"/>
      <c r="K48" s="4"/>
    </row>
    <row r="49" spans="2:11">
      <c r="B49" s="879" t="s">
        <v>1406</v>
      </c>
      <c r="C49" s="705"/>
      <c r="D49" s="4"/>
      <c r="E49" s="4"/>
      <c r="F49" s="4"/>
      <c r="G49" s="4"/>
      <c r="H49" s="4"/>
      <c r="I49" s="4"/>
      <c r="J49" s="4"/>
      <c r="K49" s="4"/>
    </row>
    <row r="50" spans="2:11">
      <c r="B50" s="1068"/>
      <c r="C50" s="1069"/>
      <c r="D50" s="1069"/>
      <c r="E50" s="1070"/>
      <c r="F50" s="4"/>
      <c r="G50" s="4"/>
      <c r="H50" s="4"/>
      <c r="I50" s="4"/>
      <c r="J50" s="4"/>
      <c r="K50" s="4"/>
    </row>
    <row r="51" spans="2:11">
      <c r="B51" s="1071"/>
      <c r="C51" s="1072"/>
      <c r="D51" s="1072"/>
      <c r="E51" s="1073"/>
      <c r="F51" s="4"/>
      <c r="G51" s="4"/>
      <c r="H51" s="4"/>
      <c r="I51" s="4"/>
      <c r="J51" s="4"/>
      <c r="K51" s="4"/>
    </row>
    <row r="52" spans="2:11" ht="15.75" thickBot="1">
      <c r="B52" s="4"/>
      <c r="D52" s="4"/>
      <c r="E52" s="4"/>
      <c r="F52" s="4"/>
      <c r="G52" s="4"/>
      <c r="H52" s="4"/>
      <c r="I52" s="4"/>
      <c r="J52" s="4"/>
      <c r="K52" s="4"/>
    </row>
    <row r="53" spans="2:11" ht="24.75" thickBot="1">
      <c r="B53" s="39" t="s">
        <v>1527</v>
      </c>
      <c r="C53" s="708"/>
      <c r="D53" s="4"/>
      <c r="E53" s="4"/>
      <c r="F53" s="4"/>
      <c r="G53" s="4"/>
      <c r="H53" s="4"/>
      <c r="I53" s="4"/>
      <c r="J53" s="4"/>
      <c r="K53" s="4"/>
    </row>
    <row r="54" spans="2:11" ht="15.75" thickBot="1">
      <c r="B54" s="1"/>
      <c r="C54" s="55"/>
      <c r="D54" s="4"/>
      <c r="E54" s="4"/>
      <c r="F54" s="4"/>
      <c r="G54" s="4"/>
      <c r="H54" s="4"/>
      <c r="I54" s="4"/>
      <c r="J54" s="4"/>
      <c r="K54" s="4"/>
    </row>
    <row r="55" spans="2:11" ht="60.75" thickBot="1">
      <c r="B55" s="40" t="s">
        <v>1528</v>
      </c>
      <c r="C55" s="878"/>
      <c r="D55" s="842" t="s">
        <v>1672</v>
      </c>
      <c r="E55" s="4"/>
      <c r="F55" s="4"/>
      <c r="G55" s="4"/>
      <c r="H55" s="4"/>
      <c r="I55" s="4"/>
      <c r="J55" s="4"/>
      <c r="K55" s="4"/>
    </row>
    <row r="56" spans="2:11">
      <c r="B56" s="1032" t="s">
        <v>1530</v>
      </c>
      <c r="C56" s="890"/>
      <c r="D56" s="836" t="s">
        <v>1531</v>
      </c>
      <c r="E56" s="4"/>
      <c r="F56" s="4"/>
      <c r="G56" s="4"/>
      <c r="H56" s="4"/>
      <c r="I56" s="4"/>
      <c r="J56" s="4"/>
      <c r="K56" s="4"/>
    </row>
    <row r="57" spans="2:11" ht="60">
      <c r="B57" s="1033"/>
      <c r="C57" s="890"/>
      <c r="D57" s="829" t="s">
        <v>1673</v>
      </c>
      <c r="E57" s="4"/>
      <c r="F57" s="4"/>
      <c r="G57" s="4"/>
      <c r="H57" s="4"/>
      <c r="I57" s="4"/>
      <c r="J57" s="4"/>
      <c r="K57" s="4"/>
    </row>
    <row r="58" spans="2:11">
      <c r="B58" s="1033"/>
      <c r="C58" s="890"/>
      <c r="D58" s="836" t="s">
        <v>1620</v>
      </c>
      <c r="E58" s="4"/>
      <c r="F58" s="4"/>
      <c r="G58" s="4"/>
      <c r="H58" s="4"/>
      <c r="I58" s="4"/>
      <c r="J58" s="4"/>
      <c r="K58" s="4"/>
    </row>
    <row r="59" spans="2:11" ht="24">
      <c r="B59" s="1033"/>
      <c r="C59" s="890"/>
      <c r="D59" s="829" t="s">
        <v>1622</v>
      </c>
      <c r="E59" s="4"/>
      <c r="F59" s="4"/>
      <c r="G59" s="4"/>
      <c r="H59" s="4"/>
      <c r="I59" s="4"/>
      <c r="J59" s="4"/>
      <c r="K59" s="4"/>
    </row>
    <row r="60" spans="2:11">
      <c r="B60" s="1033"/>
      <c r="C60" s="890"/>
      <c r="D60" s="829" t="s">
        <v>1651</v>
      </c>
      <c r="E60" s="4"/>
      <c r="F60" s="4"/>
      <c r="G60" s="4"/>
      <c r="H60" s="4"/>
      <c r="I60" s="4"/>
      <c r="J60" s="4"/>
      <c r="K60" s="4"/>
    </row>
    <row r="61" spans="2:11" ht="36">
      <c r="B61" s="1033"/>
      <c r="C61" s="890"/>
      <c r="D61" s="829" t="s">
        <v>1626</v>
      </c>
      <c r="E61" s="4"/>
      <c r="F61" s="4"/>
      <c r="G61" s="4"/>
      <c r="H61" s="4"/>
      <c r="I61" s="4"/>
      <c r="J61" s="4"/>
      <c r="K61" s="4"/>
    </row>
    <row r="62" spans="2:11">
      <c r="B62" s="1033"/>
      <c r="C62" s="890"/>
      <c r="D62" s="836" t="s">
        <v>1627</v>
      </c>
      <c r="E62" s="4"/>
      <c r="F62" s="4"/>
      <c r="G62" s="4"/>
      <c r="H62" s="4"/>
      <c r="I62" s="4"/>
      <c r="J62" s="4"/>
      <c r="K62" s="4"/>
    </row>
    <row r="63" spans="2:11" ht="24.75" thickBot="1">
      <c r="B63" s="1034"/>
      <c r="C63" s="857"/>
      <c r="D63" s="845" t="s">
        <v>1628</v>
      </c>
      <c r="E63" s="4"/>
      <c r="F63" s="4"/>
      <c r="G63" s="4"/>
      <c r="H63" s="4"/>
      <c r="I63" s="4"/>
      <c r="J63" s="4"/>
      <c r="K63" s="4"/>
    </row>
    <row r="64" spans="2:11" ht="24.75" thickBot="1">
      <c r="B64" s="839" t="s">
        <v>1543</v>
      </c>
      <c r="C64" s="857"/>
      <c r="D64" s="845"/>
      <c r="E64" s="4"/>
      <c r="F64" s="4"/>
      <c r="G64" s="4"/>
      <c r="H64" s="4"/>
      <c r="I64" s="4"/>
      <c r="J64" s="4"/>
      <c r="K64" s="4"/>
    </row>
    <row r="65" spans="2:11" ht="108">
      <c r="B65" s="1032" t="s">
        <v>1544</v>
      </c>
      <c r="C65" s="890"/>
      <c r="D65" s="829" t="s">
        <v>1674</v>
      </c>
      <c r="E65" s="4"/>
      <c r="F65" s="4"/>
      <c r="G65" s="4"/>
      <c r="H65" s="4"/>
      <c r="I65" s="4"/>
      <c r="J65" s="4"/>
      <c r="K65" s="4"/>
    </row>
    <row r="66" spans="2:11" ht="240">
      <c r="B66" s="1033"/>
      <c r="C66" s="890"/>
      <c r="D66" s="829" t="s">
        <v>1675</v>
      </c>
      <c r="E66" s="4"/>
      <c r="F66" s="4"/>
      <c r="G66" s="4"/>
      <c r="H66" s="4"/>
      <c r="I66" s="4"/>
      <c r="J66" s="4"/>
      <c r="K66" s="4"/>
    </row>
    <row r="67" spans="2:11" ht="48.75" thickBot="1">
      <c r="B67" s="1034"/>
      <c r="C67" s="857"/>
      <c r="D67" s="845" t="s">
        <v>1676</v>
      </c>
      <c r="E67" s="4"/>
      <c r="F67" s="4"/>
      <c r="G67" s="4"/>
      <c r="H67" s="4"/>
      <c r="I67" s="4"/>
      <c r="J67" s="4"/>
      <c r="K67" s="4"/>
    </row>
    <row r="68" spans="2:11">
      <c r="B68" s="1032" t="s">
        <v>1561</v>
      </c>
      <c r="C68" s="890"/>
      <c r="D68" s="829"/>
      <c r="E68" s="4"/>
      <c r="F68" s="4"/>
      <c r="G68" s="4"/>
      <c r="H68" s="4"/>
      <c r="I68" s="4"/>
      <c r="J68" s="4"/>
      <c r="K68" s="4"/>
    </row>
    <row r="69" spans="2:11">
      <c r="B69" s="1033"/>
      <c r="C69" s="890"/>
      <c r="D69" s="826"/>
      <c r="E69" s="4"/>
      <c r="F69" s="4"/>
      <c r="G69" s="4"/>
      <c r="H69" s="4"/>
      <c r="I69" s="4"/>
      <c r="J69" s="4"/>
      <c r="K69" s="4"/>
    </row>
    <row r="70" spans="2:11">
      <c r="B70" s="1033"/>
      <c r="C70" s="890"/>
      <c r="D70" s="829" t="s">
        <v>1562</v>
      </c>
      <c r="E70" s="4"/>
      <c r="F70" s="4"/>
      <c r="G70" s="4"/>
      <c r="H70" s="4"/>
      <c r="I70" s="4"/>
      <c r="J70" s="4"/>
      <c r="K70" s="4"/>
    </row>
    <row r="71" spans="2:11" ht="37.5">
      <c r="B71" s="1033"/>
      <c r="C71" s="890"/>
      <c r="D71" s="829" t="s">
        <v>1677</v>
      </c>
      <c r="E71" s="4"/>
      <c r="F71" s="4"/>
      <c r="G71" s="4"/>
      <c r="H71" s="4"/>
      <c r="I71" s="4"/>
      <c r="J71" s="4"/>
      <c r="K71" s="4"/>
    </row>
    <row r="72" spans="2:11" ht="37.5">
      <c r="B72" s="1033"/>
      <c r="C72" s="890"/>
      <c r="D72" s="829" t="s">
        <v>1678</v>
      </c>
      <c r="E72" s="4"/>
      <c r="F72" s="4"/>
      <c r="G72" s="4"/>
      <c r="H72" s="4"/>
      <c r="I72" s="4"/>
      <c r="J72" s="4"/>
      <c r="K72" s="4"/>
    </row>
    <row r="73" spans="2:11" ht="37.5">
      <c r="B73" s="1033"/>
      <c r="C73" s="890"/>
      <c r="D73" s="829" t="s">
        <v>1679</v>
      </c>
      <c r="E73" s="4"/>
      <c r="F73" s="4"/>
      <c r="G73" s="4"/>
      <c r="H73" s="4"/>
      <c r="I73" s="4"/>
      <c r="J73" s="4"/>
      <c r="K73" s="4"/>
    </row>
    <row r="74" spans="2:11" ht="48.75" thickBot="1">
      <c r="B74" s="1034"/>
      <c r="C74" s="857"/>
      <c r="D74" s="845" t="s">
        <v>1680</v>
      </c>
      <c r="E74" s="4"/>
      <c r="F74" s="4"/>
      <c r="G74" s="4"/>
      <c r="H74" s="4"/>
      <c r="I74" s="4"/>
      <c r="J74" s="4"/>
      <c r="K74" s="4"/>
    </row>
    <row r="75" spans="2:11">
      <c r="B75" s="4"/>
      <c r="D75" s="4"/>
      <c r="E75" s="4"/>
      <c r="F75" s="4"/>
      <c r="G75" s="4"/>
      <c r="H75" s="4"/>
      <c r="I75" s="4"/>
      <c r="J75" s="4"/>
      <c r="K75" s="4"/>
    </row>
  </sheetData>
  <mergeCells count="21">
    <mergeCell ref="A1:P1"/>
    <mergeCell ref="A2:P2"/>
    <mergeCell ref="A3:P3"/>
    <mergeCell ref="A4:D4"/>
    <mergeCell ref="A5:P5"/>
    <mergeCell ref="B56:B63"/>
    <mergeCell ref="B65:B67"/>
    <mergeCell ref="B68:B74"/>
    <mergeCell ref="B15:B23"/>
    <mergeCell ref="D15:J15"/>
    <mergeCell ref="D19:J19"/>
    <mergeCell ref="D24:J24"/>
    <mergeCell ref="D25:J25"/>
    <mergeCell ref="B28:B34"/>
    <mergeCell ref="B37:B43"/>
    <mergeCell ref="B50:E51"/>
    <mergeCell ref="B10:D10"/>
    <mergeCell ref="F10:S10"/>
    <mergeCell ref="F11:S11"/>
    <mergeCell ref="E12:R12"/>
    <mergeCell ref="E13:R13"/>
  </mergeCells>
  <conditionalFormatting sqref="F10">
    <cfRule type="notContainsBlanks" dxfId="116" priority="4">
      <formula>LEN(TRIM(F10))&gt;0</formula>
    </cfRule>
  </conditionalFormatting>
  <conditionalFormatting sqref="F11:S11">
    <cfRule type="expression" dxfId="115" priority="2">
      <formula>E11="NO SE REPORTA"</formula>
    </cfRule>
    <cfRule type="expression" dxfId="114" priority="3">
      <formula>E10="NO APLICA"</formula>
    </cfRule>
  </conditionalFormatting>
  <conditionalFormatting sqref="E12:R12">
    <cfRule type="expression" dxfId="11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C00-000000000000}">
      <formula1>0</formula1>
    </dataValidation>
    <dataValidation allowBlank="1" showInputMessage="1" showErrorMessage="1" sqref="I21:I22" xr:uid="{00000000-0002-0000-0C00-000001000000}"/>
    <dataValidation type="list" allowBlank="1" showInputMessage="1" showErrorMessage="1" sqref="E11" xr:uid="{00000000-0002-0000-0C00-000002000000}">
      <formula1>REPORTE</formula1>
    </dataValidation>
    <dataValidation type="list" allowBlank="1" showInputMessage="1" showErrorMessage="1" sqref="E10" xr:uid="{00000000-0002-0000-0C00-000003000000}">
      <formula1>SI</formula1>
    </dataValidation>
  </dataValidations>
  <hyperlinks>
    <hyperlink ref="B9" location="'ANEXO 3'!A1" display="VOLVER AL INDICE" xr:uid="{00000000-0004-0000-0C00-000000000000}"/>
    <hyperlink ref="E32" r:id="rId1" xr:uid="{00000000-0004-0000-0C00-000001000000}"/>
  </hyperlinks>
  <pageMargins left="0.25" right="0.25" top="0.75" bottom="0.75" header="0.3" footer="0.3"/>
  <pageSetup paperSize="178" orientation="landscape"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U78"/>
  <sheetViews>
    <sheetView showGridLines="0" zoomScale="98" zoomScaleNormal="98" workbookViewId="0">
      <selection activeCell="E20" sqref="E20"/>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8" width="10.7109375" style="241"/>
    <col min="9" max="9" width="37.5703125" style="241" customWidth="1"/>
    <col min="10"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735</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INFORMACION",+E22))</f>
        <v>1</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1681</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75" thickBot="1">
      <c r="B15" s="1032" t="s">
        <v>1449</v>
      </c>
      <c r="C15" s="65"/>
      <c r="D15" s="1009" t="s">
        <v>1450</v>
      </c>
      <c r="E15" s="1010"/>
      <c r="F15" s="1010"/>
      <c r="G15" s="1010"/>
      <c r="H15" s="1010"/>
      <c r="I15" s="1010"/>
      <c r="J15" s="1011"/>
      <c r="K15" s="4"/>
    </row>
    <row r="16" spans="1:21" ht="48.75" thickBot="1">
      <c r="B16" s="1033"/>
      <c r="C16" s="890"/>
      <c r="D16" s="842" t="s">
        <v>1682</v>
      </c>
      <c r="E16" s="160">
        <v>17</v>
      </c>
      <c r="F16" s="4"/>
      <c r="G16" s="4"/>
      <c r="H16" s="4"/>
      <c r="I16" s="4"/>
      <c r="J16" s="17"/>
      <c r="K16" s="4"/>
    </row>
    <row r="17" spans="2:11" ht="48.75" thickBot="1">
      <c r="B17" s="1033"/>
      <c r="C17" s="890"/>
      <c r="D17" s="845" t="s">
        <v>1683</v>
      </c>
      <c r="E17" s="160">
        <v>17</v>
      </c>
      <c r="F17" s="4"/>
      <c r="G17" s="4"/>
      <c r="H17" s="4"/>
      <c r="I17" s="4"/>
      <c r="J17" s="17"/>
      <c r="K17" s="4"/>
    </row>
    <row r="18" spans="2:11" ht="15.75" thickBot="1">
      <c r="B18" s="1033"/>
      <c r="C18" s="68"/>
      <c r="D18" s="1044"/>
      <c r="E18" s="1045"/>
      <c r="F18" s="1045"/>
      <c r="G18" s="1045"/>
      <c r="H18" s="1045"/>
      <c r="I18" s="1045"/>
      <c r="J18" s="1046"/>
      <c r="K18" s="4"/>
    </row>
    <row r="19" spans="2:11" ht="15.75" thickBot="1">
      <c r="B19" s="1033"/>
      <c r="C19" s="878" t="s">
        <v>1402</v>
      </c>
      <c r="D19" s="842" t="s">
        <v>1603</v>
      </c>
      <c r="E19" s="66" t="s">
        <v>1487</v>
      </c>
      <c r="F19" s="66" t="s">
        <v>1488</v>
      </c>
      <c r="G19" s="66" t="s">
        <v>1489</v>
      </c>
      <c r="H19" s="66" t="s">
        <v>1490</v>
      </c>
      <c r="I19" s="170" t="s">
        <v>1406</v>
      </c>
      <c r="J19" s="80"/>
      <c r="K19" s="4"/>
    </row>
    <row r="20" spans="2:11" ht="169.5" customHeight="1" thickBot="1">
      <c r="B20" s="1033"/>
      <c r="C20" s="857" t="s">
        <v>1605</v>
      </c>
      <c r="D20" s="845" t="s">
        <v>1684</v>
      </c>
      <c r="E20" s="160">
        <v>34</v>
      </c>
      <c r="F20" s="160">
        <v>17</v>
      </c>
      <c r="G20" s="160">
        <v>17</v>
      </c>
      <c r="H20" s="160">
        <v>17</v>
      </c>
      <c r="I20" s="710" t="s">
        <v>1685</v>
      </c>
      <c r="J20" s="81"/>
      <c r="K20" s="4"/>
    </row>
    <row r="21" spans="2:11" ht="48.75" thickBot="1">
      <c r="B21" s="1033"/>
      <c r="C21" s="857" t="s">
        <v>1607</v>
      </c>
      <c r="D21" s="845" t="s">
        <v>1686</v>
      </c>
      <c r="E21" s="160">
        <v>34</v>
      </c>
      <c r="F21" s="160"/>
      <c r="G21" s="160"/>
      <c r="H21" s="160"/>
      <c r="I21" s="24" t="s">
        <v>1687</v>
      </c>
      <c r="J21" s="81"/>
      <c r="K21" s="4"/>
    </row>
    <row r="22" spans="2:11" ht="36.75" thickBot="1">
      <c r="B22" s="1034"/>
      <c r="C22" s="857" t="s">
        <v>1610</v>
      </c>
      <c r="D22" s="845" t="s">
        <v>1688</v>
      </c>
      <c r="E22" s="143">
        <f>IFERROR(E21/E20,"N.A.")</f>
        <v>1</v>
      </c>
      <c r="F22" s="143">
        <f>IFERROR(F21/F20,"N.A.")</f>
        <v>0</v>
      </c>
      <c r="G22" s="143">
        <f>IFERROR(G21/G20,"N.A.")</f>
        <v>0</v>
      </c>
      <c r="H22" s="143">
        <f>IFERROR(H21/H20,"N.A.")</f>
        <v>0</v>
      </c>
      <c r="I22" s="298"/>
      <c r="J22" s="82"/>
      <c r="K22" s="4"/>
    </row>
    <row r="23" spans="2:11" ht="24" customHeight="1" thickBot="1">
      <c r="B23" s="839" t="s">
        <v>1504</v>
      </c>
      <c r="C23" s="69"/>
      <c r="D23" s="1041" t="s">
        <v>1689</v>
      </c>
      <c r="E23" s="1042"/>
      <c r="F23" s="1042"/>
      <c r="G23" s="1042"/>
      <c r="H23" s="1042"/>
      <c r="I23" s="1042"/>
      <c r="J23" s="1043"/>
      <c r="K23" s="4"/>
    </row>
    <row r="24" spans="2:11" ht="24.75" thickBot="1">
      <c r="B24" s="839" t="s">
        <v>1506</v>
      </c>
      <c r="C24" s="69"/>
      <c r="D24" s="1041" t="s">
        <v>1613</v>
      </c>
      <c r="E24" s="1042"/>
      <c r="F24" s="1042"/>
      <c r="G24" s="1042"/>
      <c r="H24" s="1042"/>
      <c r="I24" s="1042"/>
      <c r="J24" s="1043"/>
      <c r="K24" s="4"/>
    </row>
    <row r="25" spans="2:11" ht="15.75" thickBot="1">
      <c r="B25" s="31"/>
      <c r="C25" s="64"/>
      <c r="D25" s="4"/>
      <c r="E25" s="4"/>
      <c r="F25" s="4"/>
      <c r="G25" s="4"/>
      <c r="H25" s="4"/>
      <c r="I25" s="4"/>
      <c r="J25" s="711"/>
      <c r="K25" s="4"/>
    </row>
    <row r="26" spans="2:11" ht="15" customHeight="1" thickBot="1">
      <c r="B26" s="88" t="s">
        <v>1508</v>
      </c>
      <c r="C26" s="847"/>
      <c r="D26" s="847"/>
      <c r="E26" s="847"/>
      <c r="F26" s="847"/>
      <c r="G26" s="847"/>
      <c r="H26" s="847"/>
      <c r="I26" s="847"/>
      <c r="J26" s="848"/>
      <c r="K26" s="4"/>
    </row>
    <row r="27" spans="2:11" ht="15.75" thickBot="1">
      <c r="B27" s="1032">
        <v>1</v>
      </c>
      <c r="C27" s="65"/>
      <c r="D27" s="712" t="s">
        <v>1509</v>
      </c>
      <c r="E27" s="1074" t="s">
        <v>1510</v>
      </c>
      <c r="F27" s="1075"/>
      <c r="I27" s="45"/>
      <c r="J27" s="269"/>
      <c r="K27" s="4"/>
    </row>
    <row r="28" spans="2:11" ht="23.25" customHeight="1" thickBot="1">
      <c r="B28" s="1033"/>
      <c r="C28" s="68"/>
      <c r="D28" s="840" t="s">
        <v>10</v>
      </c>
      <c r="E28" s="1078" t="s">
        <v>1690</v>
      </c>
      <c r="F28" s="1077"/>
      <c r="I28" s="45"/>
      <c r="J28" s="17"/>
      <c r="K28" s="4"/>
    </row>
    <row r="29" spans="2:11" ht="15.75" thickBot="1">
      <c r="B29" s="1033"/>
      <c r="C29" s="68"/>
      <c r="D29" s="840" t="s">
        <v>1512</v>
      </c>
      <c r="E29" s="1074" t="s">
        <v>1691</v>
      </c>
      <c r="F29" s="1075"/>
      <c r="I29" s="45"/>
      <c r="J29" s="17"/>
      <c r="K29" s="4"/>
    </row>
    <row r="30" spans="2:11" ht="15.75" thickBot="1">
      <c r="B30" s="1033"/>
      <c r="C30" s="68"/>
      <c r="D30" s="840" t="s">
        <v>13</v>
      </c>
      <c r="E30" s="1074" t="s">
        <v>1514</v>
      </c>
      <c r="F30" s="1075"/>
      <c r="I30" s="45"/>
      <c r="J30" s="17"/>
      <c r="K30" s="4"/>
    </row>
    <row r="31" spans="2:11" ht="33.75" customHeight="1" thickBot="1">
      <c r="B31" s="1033"/>
      <c r="C31" s="68"/>
      <c r="D31" s="840" t="s">
        <v>16</v>
      </c>
      <c r="E31" s="1076" t="s">
        <v>1646</v>
      </c>
      <c r="F31" s="1077"/>
      <c r="I31" s="45"/>
      <c r="J31" s="17"/>
      <c r="K31" s="4"/>
    </row>
    <row r="32" spans="2:11" ht="15.75" thickBot="1">
      <c r="B32" s="1033"/>
      <c r="C32" s="68"/>
      <c r="D32" s="840" t="s">
        <v>19</v>
      </c>
      <c r="E32" s="1074" t="s">
        <v>1647</v>
      </c>
      <c r="F32" s="1075"/>
      <c r="I32" s="45"/>
      <c r="J32" s="17"/>
      <c r="K32" s="4"/>
    </row>
    <row r="33" spans="2:11" ht="15.75" thickBot="1">
      <c r="B33" s="1034"/>
      <c r="C33" s="69"/>
      <c r="D33" s="840" t="s">
        <v>1516</v>
      </c>
      <c r="E33" s="1074" t="s">
        <v>1517</v>
      </c>
      <c r="F33" s="1075"/>
      <c r="I33" s="713"/>
      <c r="J33" s="19"/>
      <c r="K33" s="4"/>
    </row>
    <row r="34" spans="2:11" ht="15" customHeight="1" thickBot="1">
      <c r="B34" s="88" t="s">
        <v>1518</v>
      </c>
      <c r="C34" s="89"/>
      <c r="D34" s="89"/>
      <c r="E34" s="89"/>
      <c r="F34" s="89"/>
      <c r="G34" s="89"/>
      <c r="H34" s="89"/>
      <c r="I34" s="847"/>
      <c r="J34" s="848"/>
      <c r="K34" s="4"/>
    </row>
    <row r="35" spans="2:11" ht="14.45" customHeight="1" thickBot="1">
      <c r="B35" s="1032">
        <v>1</v>
      </c>
      <c r="C35" s="65"/>
      <c r="D35" s="714" t="s">
        <v>1509</v>
      </c>
      <c r="E35" s="299" t="s">
        <v>1519</v>
      </c>
      <c r="F35" s="170"/>
      <c r="I35" s="45"/>
      <c r="J35" s="269"/>
      <c r="K35" s="4"/>
    </row>
    <row r="36" spans="2:11" ht="15.75" thickBot="1">
      <c r="B36" s="1033"/>
      <c r="C36" s="68"/>
      <c r="D36" s="870" t="s">
        <v>10</v>
      </c>
      <c r="E36" s="299" t="s">
        <v>1616</v>
      </c>
      <c r="F36" s="299"/>
      <c r="I36" s="45"/>
      <c r="J36" s="17"/>
      <c r="K36" s="4"/>
    </row>
    <row r="37" spans="2:11" ht="15.75" thickBot="1">
      <c r="B37" s="1033"/>
      <c r="C37" s="68"/>
      <c r="D37" s="870" t="s">
        <v>1512</v>
      </c>
      <c r="E37" s="1079"/>
      <c r="F37" s="1080"/>
      <c r="I37" s="45"/>
      <c r="J37" s="17"/>
      <c r="K37" s="4"/>
    </row>
    <row r="38" spans="2:11" ht="15.75" thickBot="1">
      <c r="B38" s="1033"/>
      <c r="C38" s="68"/>
      <c r="D38" s="870" t="s">
        <v>13</v>
      </c>
      <c r="E38" s="1079"/>
      <c r="F38" s="1080"/>
      <c r="I38" s="45"/>
      <c r="J38" s="17"/>
      <c r="K38" s="4"/>
    </row>
    <row r="39" spans="2:11" ht="15.75" thickBot="1">
      <c r="B39" s="1033"/>
      <c r="C39" s="68"/>
      <c r="D39" s="870" t="s">
        <v>16</v>
      </c>
      <c r="E39" s="1079"/>
      <c r="F39" s="1080"/>
      <c r="I39" s="45"/>
      <c r="J39" s="17"/>
      <c r="K39" s="4"/>
    </row>
    <row r="40" spans="2:11" ht="15.75" thickBot="1">
      <c r="B40" s="1033"/>
      <c r="C40" s="68"/>
      <c r="D40" s="870" t="s">
        <v>19</v>
      </c>
      <c r="E40" s="1079"/>
      <c r="F40" s="1080"/>
      <c r="I40" s="45"/>
      <c r="J40" s="17"/>
      <c r="K40" s="4"/>
    </row>
    <row r="41" spans="2:11" ht="15.75" thickBot="1">
      <c r="B41" s="1034"/>
      <c r="C41" s="69"/>
      <c r="D41" s="870" t="s">
        <v>1516</v>
      </c>
      <c r="E41" s="1079"/>
      <c r="F41" s="1080"/>
      <c r="I41" s="713"/>
      <c r="J41" s="19"/>
      <c r="K41" s="4"/>
    </row>
    <row r="42" spans="2:11" ht="15.75" thickBot="1">
      <c r="B42" s="843"/>
      <c r="C42" s="715"/>
      <c r="D42" s="841"/>
      <c r="E42" s="841"/>
      <c r="F42" s="841"/>
      <c r="G42" s="847"/>
      <c r="H42" s="847"/>
      <c r="I42" s="847"/>
      <c r="J42" s="848"/>
      <c r="K42" s="4"/>
    </row>
    <row r="43" spans="2:11" ht="15.75" thickBot="1">
      <c r="B43" s="1029" t="s">
        <v>1521</v>
      </c>
      <c r="C43" s="1030"/>
      <c r="D43" s="1030"/>
      <c r="E43" s="1030"/>
      <c r="F43" s="1030"/>
      <c r="G43" s="1030"/>
      <c r="H43" s="1030"/>
      <c r="I43" s="1031"/>
      <c r="J43" s="848"/>
      <c r="K43" s="4"/>
    </row>
    <row r="44" spans="2:11" ht="24" customHeight="1" thickBot="1">
      <c r="B44" s="1041" t="s">
        <v>1522</v>
      </c>
      <c r="C44" s="1042"/>
      <c r="D44" s="1043"/>
      <c r="E44" s="845" t="s">
        <v>1523</v>
      </c>
      <c r="F44" s="1041" t="s">
        <v>1524</v>
      </c>
      <c r="G44" s="1043"/>
      <c r="H44" s="1041" t="s">
        <v>1525</v>
      </c>
      <c r="I44" s="1043"/>
      <c r="J44" s="83"/>
      <c r="K44" s="4"/>
    </row>
    <row r="45" spans="2:11" ht="108" customHeight="1" thickBot="1">
      <c r="B45" s="1083">
        <v>42401</v>
      </c>
      <c r="C45" s="1084"/>
      <c r="D45" s="1085"/>
      <c r="E45" s="845">
        <v>0.01</v>
      </c>
      <c r="F45" s="1086" t="s">
        <v>1692</v>
      </c>
      <c r="G45" s="1087"/>
      <c r="H45" s="1041"/>
      <c r="I45" s="1043"/>
      <c r="J45" s="85"/>
      <c r="K45" s="4"/>
    </row>
    <row r="46" spans="2:11">
      <c r="B46" s="716"/>
      <c r="C46" s="717"/>
      <c r="D46" s="716"/>
      <c r="E46" s="716"/>
      <c r="F46" s="716"/>
      <c r="G46" s="716"/>
      <c r="H46" s="716"/>
      <c r="I46" s="716"/>
      <c r="J46" s="4"/>
      <c r="K46" s="4"/>
    </row>
    <row r="47" spans="2:11" ht="15.75" thickBot="1">
      <c r="B47" s="1"/>
      <c r="C47" s="55"/>
      <c r="D47" s="4"/>
      <c r="E47" s="4"/>
      <c r="F47" s="4"/>
      <c r="G47" s="4"/>
      <c r="H47" s="4"/>
      <c r="I47" s="4"/>
      <c r="J47" s="4"/>
      <c r="K47" s="4"/>
    </row>
    <row r="48" spans="2:11" ht="15.75" thickBot="1">
      <c r="B48" s="3" t="s">
        <v>1406</v>
      </c>
      <c r="C48" s="705"/>
      <c r="D48" s="4"/>
      <c r="E48" s="4"/>
      <c r="F48" s="4"/>
      <c r="G48" s="4"/>
      <c r="H48" s="4"/>
      <c r="I48" s="4"/>
      <c r="J48" s="4"/>
      <c r="K48" s="4"/>
    </row>
    <row r="49" spans="2:11">
      <c r="B49" s="1081"/>
      <c r="C49" s="1082"/>
      <c r="D49" s="1082"/>
      <c r="E49" s="1082"/>
      <c r="F49" s="1082"/>
      <c r="G49" s="1082"/>
      <c r="H49" s="1082"/>
      <c r="I49" s="1082"/>
      <c r="J49" s="1082"/>
      <c r="K49" s="4"/>
    </row>
    <row r="50" spans="2:11">
      <c r="B50" s="1081"/>
      <c r="C50" s="1082"/>
      <c r="D50" s="1082"/>
      <c r="E50" s="1082"/>
      <c r="F50" s="1082"/>
      <c r="G50" s="1082"/>
      <c r="H50" s="1082"/>
      <c r="I50" s="1082"/>
      <c r="J50" s="1082"/>
      <c r="K50" s="4"/>
    </row>
    <row r="51" spans="2:11">
      <c r="B51" s="1"/>
      <c r="C51" s="55"/>
      <c r="D51" s="4"/>
      <c r="E51" s="4"/>
      <c r="F51" s="4"/>
      <c r="G51" s="4"/>
      <c r="H51" s="4"/>
      <c r="I51" s="4"/>
      <c r="J51" s="4"/>
      <c r="K51" s="4"/>
    </row>
    <row r="52" spans="2:11" ht="15.75" thickBot="1">
      <c r="B52" s="4"/>
      <c r="D52" s="4"/>
      <c r="E52" s="4"/>
      <c r="F52" s="4"/>
      <c r="G52" s="4"/>
      <c r="H52" s="4"/>
      <c r="I52" s="4"/>
      <c r="J52" s="4"/>
      <c r="K52" s="4"/>
    </row>
    <row r="53" spans="2:11" ht="24.75" thickBot="1">
      <c r="B53" s="39" t="s">
        <v>1527</v>
      </c>
      <c r="C53" s="708"/>
      <c r="D53" s="4"/>
      <c r="E53" s="4"/>
      <c r="F53" s="4"/>
      <c r="G53" s="4"/>
      <c r="H53" s="4"/>
      <c r="I53" s="4"/>
      <c r="J53" s="4"/>
      <c r="K53" s="4"/>
    </row>
    <row r="54" spans="2:11" ht="15.75" thickBot="1">
      <c r="B54" s="1"/>
      <c r="C54" s="55"/>
      <c r="D54" s="4"/>
      <c r="E54" s="4"/>
      <c r="F54" s="4"/>
      <c r="G54" s="4"/>
      <c r="H54" s="4"/>
      <c r="I54" s="4"/>
      <c r="J54" s="4"/>
      <c r="K54" s="4"/>
    </row>
    <row r="55" spans="2:11" ht="72.75" thickBot="1">
      <c r="B55" s="40" t="s">
        <v>1528</v>
      </c>
      <c r="C55" s="878"/>
      <c r="D55" s="842" t="s">
        <v>1693</v>
      </c>
      <c r="E55" s="4"/>
      <c r="F55" s="4"/>
      <c r="G55" s="4"/>
      <c r="H55" s="4"/>
      <c r="I55" s="4"/>
      <c r="J55" s="4"/>
      <c r="K55" s="4"/>
    </row>
    <row r="56" spans="2:11">
      <c r="B56" s="1032" t="s">
        <v>1530</v>
      </c>
      <c r="C56" s="890"/>
      <c r="D56" s="836" t="s">
        <v>1531</v>
      </c>
      <c r="E56" s="4"/>
      <c r="F56" s="4"/>
      <c r="G56" s="4"/>
      <c r="H56" s="4"/>
      <c r="I56" s="4"/>
      <c r="J56" s="4"/>
      <c r="K56" s="4"/>
    </row>
    <row r="57" spans="2:11" ht="60">
      <c r="B57" s="1033"/>
      <c r="C57" s="890"/>
      <c r="D57" s="829" t="s">
        <v>1694</v>
      </c>
      <c r="E57" s="4"/>
      <c r="F57" s="4"/>
      <c r="G57" s="4"/>
      <c r="H57" s="4"/>
      <c r="I57" s="4"/>
      <c r="J57" s="4"/>
      <c r="K57" s="4"/>
    </row>
    <row r="58" spans="2:11">
      <c r="B58" s="1033"/>
      <c r="C58" s="890"/>
      <c r="D58" s="836" t="s">
        <v>1620</v>
      </c>
      <c r="E58" s="4"/>
      <c r="F58" s="4"/>
      <c r="G58" s="4"/>
      <c r="H58" s="4"/>
      <c r="I58" s="4"/>
      <c r="J58" s="4"/>
      <c r="K58" s="4"/>
    </row>
    <row r="59" spans="2:11">
      <c r="B59" s="1033"/>
      <c r="C59" s="890"/>
      <c r="D59" s="829" t="s">
        <v>1535</v>
      </c>
      <c r="E59" s="4"/>
      <c r="F59" s="4"/>
      <c r="G59" s="4"/>
      <c r="H59" s="4"/>
      <c r="I59" s="4"/>
      <c r="J59" s="4"/>
      <c r="K59" s="4"/>
    </row>
    <row r="60" spans="2:11">
      <c r="B60" s="1033"/>
      <c r="C60" s="890"/>
      <c r="D60" s="829" t="s">
        <v>1651</v>
      </c>
      <c r="E60" s="4"/>
      <c r="F60" s="4"/>
      <c r="G60" s="4"/>
      <c r="H60" s="4"/>
      <c r="I60" s="4"/>
      <c r="J60" s="4"/>
      <c r="K60" s="4"/>
    </row>
    <row r="61" spans="2:11">
      <c r="B61" s="1033"/>
      <c r="C61" s="890"/>
      <c r="D61" s="829" t="s">
        <v>1695</v>
      </c>
      <c r="E61" s="4"/>
      <c r="F61" s="4"/>
      <c r="G61" s="4"/>
      <c r="H61" s="4"/>
      <c r="I61" s="4"/>
      <c r="J61" s="4"/>
      <c r="K61" s="4"/>
    </row>
    <row r="62" spans="2:11">
      <c r="B62" s="1033"/>
      <c r="C62" s="890"/>
      <c r="D62" s="829" t="s">
        <v>1696</v>
      </c>
      <c r="E62" s="4"/>
      <c r="F62" s="4"/>
      <c r="G62" s="4"/>
      <c r="H62" s="4"/>
      <c r="I62" s="4"/>
      <c r="J62" s="4"/>
      <c r="K62" s="4"/>
    </row>
    <row r="63" spans="2:11" ht="24">
      <c r="B63" s="1033"/>
      <c r="C63" s="890"/>
      <c r="D63" s="829" t="s">
        <v>1697</v>
      </c>
      <c r="E63" s="4"/>
      <c r="F63" s="4"/>
      <c r="G63" s="4"/>
      <c r="H63" s="4"/>
      <c r="I63" s="4"/>
      <c r="J63" s="4"/>
      <c r="K63" s="4"/>
    </row>
    <row r="64" spans="2:11">
      <c r="B64" s="1033"/>
      <c r="C64" s="890"/>
      <c r="D64" s="836" t="s">
        <v>1627</v>
      </c>
      <c r="E64" s="4"/>
      <c r="F64" s="4"/>
      <c r="G64" s="4"/>
      <c r="H64" s="4"/>
      <c r="I64" s="4"/>
      <c r="J64" s="4"/>
      <c r="K64" s="4"/>
    </row>
    <row r="65" spans="2:11" ht="15.75" thickBot="1">
      <c r="B65" s="1034"/>
      <c r="C65" s="857"/>
      <c r="D65" s="830"/>
      <c r="E65" s="4"/>
      <c r="F65" s="4"/>
      <c r="G65" s="4"/>
      <c r="H65" s="4"/>
      <c r="I65" s="4"/>
      <c r="J65" s="4"/>
      <c r="K65" s="4"/>
    </row>
    <row r="66" spans="2:11" ht="24.75" thickBot="1">
      <c r="B66" s="839" t="s">
        <v>1543</v>
      </c>
      <c r="C66" s="857"/>
      <c r="D66" s="845"/>
      <c r="E66" s="4"/>
      <c r="F66" s="4"/>
      <c r="G66" s="4"/>
      <c r="H66" s="4"/>
      <c r="I66" s="4"/>
      <c r="J66" s="4"/>
      <c r="K66" s="4"/>
    </row>
    <row r="67" spans="2:11" ht="156">
      <c r="B67" s="1032" t="s">
        <v>1544</v>
      </c>
      <c r="C67" s="890"/>
      <c r="D67" s="829" t="s">
        <v>1698</v>
      </c>
      <c r="E67" s="4"/>
      <c r="F67" s="4"/>
      <c r="G67" s="4"/>
      <c r="H67" s="4"/>
      <c r="I67" s="4"/>
      <c r="J67" s="4"/>
      <c r="K67" s="4"/>
    </row>
    <row r="68" spans="2:11" ht="132">
      <c r="B68" s="1033"/>
      <c r="C68" s="890"/>
      <c r="D68" s="829" t="s">
        <v>1699</v>
      </c>
      <c r="E68" s="4"/>
      <c r="F68" s="4"/>
      <c r="G68" s="4"/>
      <c r="H68" s="4"/>
      <c r="I68" s="4"/>
      <c r="J68" s="4"/>
      <c r="K68" s="4"/>
    </row>
    <row r="69" spans="2:11" ht="216">
      <c r="B69" s="1033"/>
      <c r="C69" s="890"/>
      <c r="D69" s="829" t="s">
        <v>1700</v>
      </c>
      <c r="E69" s="4"/>
      <c r="F69" s="4"/>
      <c r="G69" s="4"/>
      <c r="H69" s="4"/>
      <c r="I69" s="4"/>
      <c r="J69" s="4"/>
      <c r="K69" s="4"/>
    </row>
    <row r="70" spans="2:11" ht="72">
      <c r="B70" s="1033"/>
      <c r="C70" s="890"/>
      <c r="D70" s="829" t="s">
        <v>1701</v>
      </c>
      <c r="E70" s="4"/>
      <c r="F70" s="4"/>
      <c r="G70" s="4"/>
      <c r="H70" s="4"/>
      <c r="I70" s="4"/>
      <c r="J70" s="4"/>
      <c r="K70" s="4"/>
    </row>
    <row r="71" spans="2:11" ht="15.75" thickBot="1">
      <c r="B71" s="1034"/>
      <c r="C71" s="857"/>
      <c r="D71" s="845"/>
      <c r="E71" s="4"/>
      <c r="F71" s="4"/>
      <c r="G71" s="4"/>
      <c r="H71" s="4"/>
      <c r="I71" s="4"/>
      <c r="J71" s="4"/>
      <c r="K71" s="4"/>
    </row>
    <row r="72" spans="2:11">
      <c r="B72" s="1032" t="s">
        <v>1561</v>
      </c>
      <c r="C72" s="890"/>
      <c r="D72" s="829"/>
      <c r="E72" s="4"/>
      <c r="F72" s="4"/>
      <c r="G72" s="4"/>
      <c r="H72" s="4"/>
      <c r="I72" s="4"/>
      <c r="J72" s="4"/>
      <c r="K72" s="4"/>
    </row>
    <row r="73" spans="2:11">
      <c r="B73" s="1033"/>
      <c r="C73" s="890"/>
      <c r="D73" s="826"/>
      <c r="E73" s="4"/>
      <c r="F73" s="4"/>
      <c r="G73" s="4"/>
      <c r="H73" s="4"/>
      <c r="I73" s="4"/>
      <c r="J73" s="4"/>
      <c r="K73" s="4"/>
    </row>
    <row r="74" spans="2:11">
      <c r="B74" s="1033"/>
      <c r="C74" s="890"/>
      <c r="D74" s="829" t="s">
        <v>1562</v>
      </c>
      <c r="E74" s="4"/>
      <c r="F74" s="4"/>
      <c r="G74" s="4"/>
      <c r="H74" s="4"/>
      <c r="I74" s="4"/>
      <c r="J74" s="4"/>
      <c r="K74" s="4"/>
    </row>
    <row r="75" spans="2:11" ht="37.5">
      <c r="B75" s="1033"/>
      <c r="C75" s="890"/>
      <c r="D75" s="829" t="s">
        <v>1702</v>
      </c>
      <c r="E75" s="4"/>
      <c r="F75" s="4"/>
      <c r="G75" s="4"/>
      <c r="H75" s="4"/>
      <c r="I75" s="4"/>
      <c r="J75" s="4"/>
      <c r="K75" s="4"/>
    </row>
    <row r="76" spans="2:11" ht="37.5">
      <c r="B76" s="1033"/>
      <c r="C76" s="890"/>
      <c r="D76" s="829" t="s">
        <v>1703</v>
      </c>
      <c r="E76" s="4"/>
      <c r="F76" s="4"/>
      <c r="G76" s="4"/>
      <c r="H76" s="4"/>
      <c r="I76" s="4"/>
      <c r="J76" s="4"/>
      <c r="K76" s="4"/>
    </row>
    <row r="77" spans="2:11" ht="37.5">
      <c r="B77" s="1033"/>
      <c r="C77" s="890"/>
      <c r="D77" s="829" t="s">
        <v>1704</v>
      </c>
      <c r="E77" s="4"/>
      <c r="F77" s="4"/>
      <c r="G77" s="4"/>
      <c r="H77" s="4"/>
      <c r="I77" s="4"/>
      <c r="J77" s="4"/>
      <c r="K77" s="4"/>
    </row>
    <row r="78" spans="2:11" ht="48.75" thickBot="1">
      <c r="B78" s="1034"/>
      <c r="C78" s="857"/>
      <c r="D78" s="845" t="s">
        <v>1705</v>
      </c>
      <c r="E78" s="4"/>
      <c r="F78" s="4"/>
      <c r="G78" s="4"/>
      <c r="H78" s="4"/>
      <c r="I78" s="4"/>
      <c r="J78" s="4"/>
      <c r="K78" s="4"/>
    </row>
  </sheetData>
  <sheetProtection insertColumns="0" insertRows="0"/>
  <mergeCells count="40">
    <mergeCell ref="A1:P1"/>
    <mergeCell ref="A2:P2"/>
    <mergeCell ref="A3:P3"/>
    <mergeCell ref="A4:D4"/>
    <mergeCell ref="A5:P5"/>
    <mergeCell ref="B49:J50"/>
    <mergeCell ref="B45:D45"/>
    <mergeCell ref="F45:G45"/>
    <mergeCell ref="H45:I45"/>
    <mergeCell ref="E41:F41"/>
    <mergeCell ref="B43:I43"/>
    <mergeCell ref="B44:D44"/>
    <mergeCell ref="F44:G44"/>
    <mergeCell ref="H44:I44"/>
    <mergeCell ref="E40:F40"/>
    <mergeCell ref="E33:F33"/>
    <mergeCell ref="B35:B41"/>
    <mergeCell ref="E37:F37"/>
    <mergeCell ref="B27:B3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B10:D10"/>
    <mergeCell ref="F10:S10"/>
    <mergeCell ref="F11:S11"/>
    <mergeCell ref="E12:R12"/>
    <mergeCell ref="E13:R13"/>
  </mergeCells>
  <conditionalFormatting sqref="F10">
    <cfRule type="notContainsBlanks" dxfId="112" priority="4">
      <formula>LEN(TRIM(F10))&gt;0</formula>
    </cfRule>
  </conditionalFormatting>
  <conditionalFormatting sqref="F11:S11">
    <cfRule type="expression" dxfId="111" priority="2">
      <formula>E11="NO SE REPORTA"</formula>
    </cfRule>
    <cfRule type="expression" dxfId="110" priority="3">
      <formula>E10="NO APLICA"</formula>
    </cfRule>
  </conditionalFormatting>
  <conditionalFormatting sqref="E12:R12">
    <cfRule type="expression" dxfId="109"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D00-000000000000}">
      <formula1>0</formula1>
    </dataValidation>
    <dataValidation type="list" allowBlank="1" showInputMessage="1" showErrorMessage="1" sqref="E11" xr:uid="{00000000-0002-0000-0D00-000001000000}">
      <formula1>REPORTE</formula1>
    </dataValidation>
    <dataValidation type="list" allowBlank="1" showInputMessage="1" showErrorMessage="1" sqref="E10" xr:uid="{00000000-0002-0000-0D00-000002000000}">
      <formula1>SI</formula1>
    </dataValidation>
  </dataValidations>
  <hyperlinks>
    <hyperlink ref="B9" location="'ANEXO 3'!A1" display="VOLVER AL INDICE" xr:uid="{00000000-0004-0000-0D00-000000000000}"/>
    <hyperlink ref="E31" r:id="rId1" xr:uid="{00000000-0004-0000-0D00-000001000000}"/>
  </hyperlinks>
  <pageMargins left="0.25" right="0.25" top="0.75" bottom="0.75" header="0.3" footer="0.3"/>
  <pageSetup paperSize="178"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U127"/>
  <sheetViews>
    <sheetView showGridLines="0" topLeftCell="A4" zoomScale="98" zoomScaleNormal="98" workbookViewId="0">
      <selection activeCell="D33" sqref="D33"/>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7" width="10.7109375" style="241"/>
    <col min="8" max="8" width="12.140625" style="241" customWidth="1"/>
    <col min="9" max="9" width="10.7109375" style="241"/>
    <col min="10" max="10" width="35.85546875" style="241" customWidth="1"/>
    <col min="11"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737</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INFORMACION",))+E27</f>
        <v>1</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1446</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 customHeight="1" thickTop="1">
      <c r="B15" s="1088" t="s">
        <v>1449</v>
      </c>
      <c r="C15" s="65"/>
      <c r="D15" s="1009" t="s">
        <v>1450</v>
      </c>
      <c r="E15" s="1010"/>
      <c r="F15" s="1010"/>
      <c r="G15" s="1010"/>
      <c r="H15" s="1010"/>
      <c r="I15" s="1010"/>
      <c r="J15" s="1010"/>
      <c r="K15" s="1011"/>
    </row>
    <row r="16" spans="1:21" ht="15.75" thickBot="1">
      <c r="B16" s="1004"/>
      <c r="C16" s="68"/>
      <c r="D16" s="1012" t="s">
        <v>1706</v>
      </c>
      <c r="E16" s="1013"/>
      <c r="F16" s="1013"/>
      <c r="G16" s="1013"/>
      <c r="H16" s="1013"/>
      <c r="I16" s="1013"/>
      <c r="J16" s="1013"/>
      <c r="K16" s="1014"/>
    </row>
    <row r="17" spans="2:11" ht="15.75" thickBot="1">
      <c r="B17" s="1004"/>
      <c r="C17" s="878" t="s">
        <v>1402</v>
      </c>
      <c r="D17" s="872" t="s">
        <v>1707</v>
      </c>
      <c r="E17" s="872" t="s">
        <v>1487</v>
      </c>
      <c r="F17" s="872" t="s">
        <v>1488</v>
      </c>
      <c r="G17" s="872" t="s">
        <v>1489</v>
      </c>
      <c r="H17" s="872" t="s">
        <v>1490</v>
      </c>
      <c r="I17" s="170"/>
      <c r="K17" s="17"/>
    </row>
    <row r="18" spans="2:11" ht="15.75" thickBot="1">
      <c r="B18" s="1004"/>
      <c r="C18" s="857" t="s">
        <v>1605</v>
      </c>
      <c r="D18" s="32" t="s">
        <v>1708</v>
      </c>
      <c r="E18" s="160">
        <v>1</v>
      </c>
      <c r="F18" s="160"/>
      <c r="G18" s="160"/>
      <c r="H18" s="160"/>
      <c r="I18" s="215"/>
      <c r="J18" s="772" t="s">
        <v>1709</v>
      </c>
      <c r="K18" s="17"/>
    </row>
    <row r="19" spans="2:11" ht="15.75" thickBot="1">
      <c r="B19" s="1004"/>
      <c r="C19" s="857" t="s">
        <v>1607</v>
      </c>
      <c r="D19" s="32" t="s">
        <v>1710</v>
      </c>
      <c r="E19" s="160">
        <v>1</v>
      </c>
      <c r="F19" s="160">
        <v>1</v>
      </c>
      <c r="G19" s="160">
        <v>1</v>
      </c>
      <c r="H19" s="160"/>
      <c r="I19" s="215"/>
      <c r="J19" s="772" t="s">
        <v>1711</v>
      </c>
      <c r="K19" s="17"/>
    </row>
    <row r="20" spans="2:11" ht="15.75" thickBot="1">
      <c r="B20" s="1004"/>
      <c r="C20" s="857" t="s">
        <v>1610</v>
      </c>
      <c r="D20" s="32" t="s">
        <v>1712</v>
      </c>
      <c r="E20" s="160">
        <v>0</v>
      </c>
      <c r="F20" s="160"/>
      <c r="G20" s="160"/>
      <c r="H20" s="160"/>
      <c r="I20" s="215"/>
      <c r="K20" s="17"/>
    </row>
    <row r="21" spans="2:11" ht="15.75" thickBot="1">
      <c r="B21" s="1004"/>
      <c r="C21" s="857" t="s">
        <v>1713</v>
      </c>
      <c r="D21" s="32" t="s">
        <v>1714</v>
      </c>
      <c r="E21" s="160">
        <v>0</v>
      </c>
      <c r="F21" s="160"/>
      <c r="G21" s="160"/>
      <c r="H21" s="160"/>
      <c r="I21" s="215"/>
      <c r="K21" s="17"/>
    </row>
    <row r="22" spans="2:11" ht="15.75" thickBot="1">
      <c r="B22" s="1004"/>
      <c r="C22" s="857" t="s">
        <v>1715</v>
      </c>
      <c r="D22" s="32" t="s">
        <v>1716</v>
      </c>
      <c r="E22" s="160">
        <v>0</v>
      </c>
      <c r="F22" s="160"/>
      <c r="G22" s="160"/>
      <c r="H22" s="160"/>
      <c r="I22" s="215"/>
      <c r="K22" s="17"/>
    </row>
    <row r="23" spans="2:11" ht="15.75" thickBot="1">
      <c r="B23" s="1004"/>
      <c r="C23" s="857" t="s">
        <v>1717</v>
      </c>
      <c r="D23" s="32" t="s">
        <v>1718</v>
      </c>
      <c r="E23" s="160">
        <v>0</v>
      </c>
      <c r="F23" s="160"/>
      <c r="G23" s="160"/>
      <c r="H23" s="160"/>
      <c r="I23" s="215"/>
      <c r="K23" s="17"/>
    </row>
    <row r="24" spans="2:11" ht="15.75" thickBot="1">
      <c r="B24" s="1004"/>
      <c r="C24" s="857" t="s">
        <v>1719</v>
      </c>
      <c r="D24" s="32" t="s">
        <v>1720</v>
      </c>
      <c r="E24" s="143">
        <f>IFERROR(E19/E18,"N.A.")</f>
        <v>1</v>
      </c>
      <c r="F24" s="143" t="str">
        <f>IFERROR(F19/F18,"N.A.")</f>
        <v>N.A.</v>
      </c>
      <c r="G24" s="143" t="str">
        <f>IFERROR(G19/G18,"N.A.")</f>
        <v>N.A.</v>
      </c>
      <c r="H24" s="143" t="str">
        <f>IFERROR(H19/H18,"N.A.")</f>
        <v>N.A.</v>
      </c>
      <c r="I24" s="207"/>
      <c r="K24" s="17"/>
    </row>
    <row r="25" spans="2:11" ht="15.75" thickBot="1">
      <c r="B25" s="1004"/>
      <c r="C25" s="857" t="s">
        <v>1721</v>
      </c>
      <c r="D25" s="32" t="s">
        <v>1722</v>
      </c>
      <c r="E25" s="143" t="str">
        <f>IFERROR(E21/E20,"N.A.")</f>
        <v>N.A.</v>
      </c>
      <c r="F25" s="143" t="str">
        <f>IFERROR(F21/F20,"N.A.")</f>
        <v>N.A.</v>
      </c>
      <c r="G25" s="143" t="str">
        <f>IFERROR(G21/G20,"N.A.")</f>
        <v>N.A.</v>
      </c>
      <c r="H25" s="143" t="str">
        <f>IFERROR(H21/H20,"N.A.")</f>
        <v>N.A.</v>
      </c>
      <c r="I25" s="207"/>
      <c r="K25" s="17"/>
    </row>
    <row r="26" spans="2:11" ht="15.75" thickBot="1">
      <c r="B26" s="1004"/>
      <c r="C26" s="857" t="s">
        <v>1723</v>
      </c>
      <c r="D26" s="32" t="s">
        <v>1724</v>
      </c>
      <c r="E26" s="143" t="str">
        <f>IFERROR(E23/E22,"N.A.")</f>
        <v>N.A.</v>
      </c>
      <c r="F26" s="143" t="str">
        <f>IFERROR(F23/F22,"N.A.")</f>
        <v>N.A.</v>
      </c>
      <c r="G26" s="143" t="str">
        <f>IFERROR(G23/G22,"N.A.")</f>
        <v>N.A.</v>
      </c>
      <c r="H26" s="143" t="str">
        <f>IFERROR(H23/H22,"N.A.")</f>
        <v>N.A.</v>
      </c>
      <c r="I26" s="207"/>
      <c r="K26" s="17"/>
    </row>
    <row r="27" spans="2:11" ht="15.75" thickBot="1">
      <c r="B27" s="850"/>
      <c r="C27" s="739"/>
      <c r="D27" s="213" t="s">
        <v>1725</v>
      </c>
      <c r="E27" s="143">
        <f>IFERROR(AVERAGE(E24:E26),"N.A.")</f>
        <v>1</v>
      </c>
      <c r="F27" s="143" t="str">
        <f>IFERROR(AVERAGE(F24:F26),"N.A.")</f>
        <v>N.A.</v>
      </c>
      <c r="G27" s="143" t="str">
        <f>IFERROR(AVERAGE(G24:G26),"N.A.")</f>
        <v>N.A.</v>
      </c>
      <c r="H27" s="143" t="str">
        <f>IFERROR(AVERAGE(H24:H26),"N.A.")</f>
        <v>N.A.</v>
      </c>
      <c r="I27" s="207"/>
      <c r="K27" s="17"/>
    </row>
    <row r="28" spans="2:11">
      <c r="B28" s="838"/>
      <c r="C28" s="68"/>
      <c r="D28" s="1015"/>
      <c r="E28" s="1016"/>
      <c r="F28" s="1016"/>
      <c r="G28" s="1016"/>
      <c r="H28" s="1016"/>
      <c r="I28" s="1016"/>
      <c r="J28" s="1016"/>
      <c r="K28" s="1017"/>
    </row>
    <row r="29" spans="2:11">
      <c r="B29" s="838"/>
      <c r="C29" s="68"/>
      <c r="D29" s="1012" t="s">
        <v>1726</v>
      </c>
      <c r="E29" s="1013"/>
      <c r="F29" s="1013"/>
      <c r="G29" s="1013"/>
      <c r="H29" s="1013"/>
      <c r="I29" s="1013"/>
      <c r="J29" s="1013"/>
      <c r="K29" s="1014"/>
    </row>
    <row r="30" spans="2:11" ht="15.75" thickBot="1">
      <c r="B30" s="838"/>
      <c r="C30" s="68"/>
      <c r="D30" s="1006" t="s">
        <v>1727</v>
      </c>
      <c r="E30" s="1007"/>
      <c r="F30" s="1007"/>
      <c r="G30" s="1007"/>
      <c r="H30" s="1007"/>
      <c r="I30" s="1007"/>
      <c r="J30" s="1007"/>
      <c r="K30" s="1008"/>
    </row>
    <row r="31" spans="2:11" ht="15.75" thickBot="1">
      <c r="B31" s="838"/>
      <c r="C31" s="878" t="s">
        <v>1402</v>
      </c>
      <c r="D31" s="835" t="s">
        <v>1728</v>
      </c>
      <c r="E31" s="842" t="s">
        <v>1729</v>
      </c>
      <c r="F31" s="842" t="s">
        <v>1730</v>
      </c>
      <c r="G31" s="842" t="s">
        <v>1731</v>
      </c>
      <c r="H31" s="842" t="s">
        <v>1732</v>
      </c>
      <c r="I31" s="842" t="s">
        <v>1733</v>
      </c>
      <c r="J31" s="842" t="s">
        <v>1406</v>
      </c>
      <c r="K31" s="83"/>
    </row>
    <row r="32" spans="2:11" s="146" customFormat="1" ht="89.25" customHeight="1" thickBot="1">
      <c r="B32" s="884"/>
      <c r="C32" s="773">
        <v>1</v>
      </c>
      <c r="D32" s="741" t="s">
        <v>1734</v>
      </c>
      <c r="E32" s="275" t="s">
        <v>1466</v>
      </c>
      <c r="F32" s="161">
        <v>1330000000</v>
      </c>
      <c r="G32" s="161">
        <v>1330000000</v>
      </c>
      <c r="H32" s="161">
        <v>100000000</v>
      </c>
      <c r="I32" s="161"/>
      <c r="J32" s="24" t="s">
        <v>86</v>
      </c>
      <c r="K32" s="81"/>
    </row>
    <row r="33" spans="2:11" s="146" customFormat="1" ht="120.75" thickBot="1">
      <c r="B33" s="884"/>
      <c r="C33" s="773">
        <v>2</v>
      </c>
      <c r="D33" s="774" t="s">
        <v>1735</v>
      </c>
      <c r="E33" s="275" t="s">
        <v>1466</v>
      </c>
      <c r="F33" s="161">
        <v>300000000</v>
      </c>
      <c r="G33" s="161">
        <v>300000000</v>
      </c>
      <c r="H33" s="161">
        <v>60000000</v>
      </c>
      <c r="I33" s="161"/>
      <c r="J33" s="24" t="s">
        <v>1736</v>
      </c>
      <c r="K33" s="81"/>
    </row>
    <row r="34" spans="2:11" s="146" customFormat="1" ht="144.75" thickBot="1">
      <c r="B34" s="884"/>
      <c r="C34" s="173">
        <v>3</v>
      </c>
      <c r="D34" s="775" t="s">
        <v>1737</v>
      </c>
      <c r="E34" s="275" t="s">
        <v>1466</v>
      </c>
      <c r="F34" s="161">
        <v>200000000</v>
      </c>
      <c r="G34" s="161">
        <v>200000000</v>
      </c>
      <c r="H34" s="161">
        <v>199891740</v>
      </c>
      <c r="I34" s="161"/>
      <c r="J34" s="24" t="s">
        <v>1738</v>
      </c>
      <c r="K34" s="81"/>
    </row>
    <row r="35" spans="2:11" s="146" customFormat="1" ht="49.5" thickBot="1">
      <c r="B35" s="884"/>
      <c r="C35" s="773">
        <v>4</v>
      </c>
      <c r="D35" s="774" t="s">
        <v>1739</v>
      </c>
      <c r="E35" s="275" t="s">
        <v>1466</v>
      </c>
      <c r="F35" s="161"/>
      <c r="G35" s="161"/>
      <c r="H35" s="161"/>
      <c r="I35" s="161"/>
      <c r="J35" s="25"/>
      <c r="K35" s="81"/>
    </row>
    <row r="36" spans="2:11" s="146" customFormat="1" ht="37.5" thickBot="1">
      <c r="B36" s="884"/>
      <c r="C36" s="773">
        <v>5</v>
      </c>
      <c r="D36" s="774" t="s">
        <v>1740</v>
      </c>
      <c r="E36" s="275" t="s">
        <v>1466</v>
      </c>
      <c r="F36" s="161"/>
      <c r="G36" s="161"/>
      <c r="H36" s="161"/>
      <c r="I36" s="161"/>
      <c r="J36" s="25"/>
      <c r="K36" s="81"/>
    </row>
    <row r="37" spans="2:11" s="146" customFormat="1" ht="120.75" thickBot="1">
      <c r="B37" s="884"/>
      <c r="C37" s="773">
        <v>6</v>
      </c>
      <c r="D37" s="774" t="s">
        <v>1741</v>
      </c>
      <c r="E37" s="275" t="s">
        <v>1466</v>
      </c>
      <c r="F37" s="161">
        <v>600000000</v>
      </c>
      <c r="G37" s="161">
        <v>600000000</v>
      </c>
      <c r="H37" s="161">
        <v>600000000</v>
      </c>
      <c r="I37" s="161"/>
      <c r="J37" s="24" t="s">
        <v>1742</v>
      </c>
      <c r="K37" s="81"/>
    </row>
    <row r="38" spans="2:11" s="146" customFormat="1" ht="49.5" thickBot="1">
      <c r="B38" s="884"/>
      <c r="C38" s="773">
        <v>7</v>
      </c>
      <c r="D38" s="774" t="s">
        <v>1743</v>
      </c>
      <c r="E38" s="275" t="s">
        <v>1478</v>
      </c>
      <c r="F38" s="161"/>
      <c r="G38" s="161"/>
      <c r="H38" s="161"/>
      <c r="I38" s="161"/>
      <c r="J38" s="25"/>
      <c r="K38" s="81"/>
    </row>
    <row r="39" spans="2:11" s="146" customFormat="1" ht="15.75" thickBot="1">
      <c r="B39" s="884"/>
      <c r="C39" s="773">
        <v>8</v>
      </c>
      <c r="D39" s="774"/>
      <c r="E39" s="275"/>
      <c r="F39" s="161"/>
      <c r="G39" s="161"/>
      <c r="H39" s="161"/>
      <c r="I39" s="161"/>
      <c r="J39" s="25"/>
      <c r="K39" s="81"/>
    </row>
    <row r="40" spans="2:11" s="146" customFormat="1" ht="15.75" thickBot="1">
      <c r="B40" s="884"/>
      <c r="C40" s="173">
        <v>9</v>
      </c>
      <c r="D40" s="25"/>
      <c r="E40" s="121"/>
      <c r="F40" s="161"/>
      <c r="G40" s="161"/>
      <c r="H40" s="161"/>
      <c r="I40" s="161"/>
      <c r="J40" s="25"/>
      <c r="K40" s="81"/>
    </row>
    <row r="41" spans="2:11" s="146" customFormat="1" ht="15.75" thickBot="1">
      <c r="B41" s="884"/>
      <c r="C41" s="173">
        <v>10</v>
      </c>
      <c r="D41" s="25"/>
      <c r="E41" s="121"/>
      <c r="F41" s="161"/>
      <c r="G41" s="161"/>
      <c r="H41" s="161"/>
      <c r="I41" s="161"/>
      <c r="J41" s="25"/>
      <c r="K41" s="81"/>
    </row>
    <row r="42" spans="2:11" s="146" customFormat="1" ht="15.75" thickBot="1">
      <c r="B42" s="884"/>
      <c r="C42" s="173">
        <v>11</v>
      </c>
      <c r="D42" s="25"/>
      <c r="E42" s="121"/>
      <c r="F42" s="161"/>
      <c r="G42" s="161"/>
      <c r="H42" s="161"/>
      <c r="I42" s="161"/>
      <c r="J42" s="25"/>
      <c r="K42" s="81"/>
    </row>
    <row r="43" spans="2:11" s="146" customFormat="1" ht="15.75" thickBot="1">
      <c r="B43" s="884"/>
      <c r="C43" s="173">
        <v>12</v>
      </c>
      <c r="D43" s="25"/>
      <c r="E43" s="121"/>
      <c r="F43" s="161"/>
      <c r="G43" s="161"/>
      <c r="H43" s="161"/>
      <c r="I43" s="161"/>
      <c r="J43" s="25"/>
      <c r="K43" s="81"/>
    </row>
    <row r="44" spans="2:11" s="146" customFormat="1" ht="15.75" thickBot="1">
      <c r="B44" s="884"/>
      <c r="C44" s="173">
        <v>13</v>
      </c>
      <c r="D44" s="25"/>
      <c r="E44" s="121"/>
      <c r="F44" s="161"/>
      <c r="G44" s="161"/>
      <c r="H44" s="161"/>
      <c r="I44" s="161"/>
      <c r="J44" s="25"/>
      <c r="K44" s="81"/>
    </row>
    <row r="45" spans="2:11" s="146" customFormat="1" ht="15.75" thickBot="1">
      <c r="B45" s="884"/>
      <c r="C45" s="173">
        <v>14</v>
      </c>
      <c r="D45" s="25"/>
      <c r="E45" s="121"/>
      <c r="F45" s="161"/>
      <c r="G45" s="161"/>
      <c r="H45" s="161"/>
      <c r="I45" s="161"/>
      <c r="J45" s="25"/>
      <c r="K45" s="81"/>
    </row>
    <row r="46" spans="2:11" s="146" customFormat="1" ht="15.75" thickBot="1">
      <c r="B46" s="884"/>
      <c r="C46" s="173">
        <v>15</v>
      </c>
      <c r="D46" s="25"/>
      <c r="E46" s="121"/>
      <c r="F46" s="161"/>
      <c r="G46" s="161"/>
      <c r="H46" s="161"/>
      <c r="I46" s="161"/>
      <c r="J46" s="25"/>
      <c r="K46" s="81"/>
    </row>
    <row r="47" spans="2:11" s="146" customFormat="1" ht="15.75" thickBot="1">
      <c r="B47" s="884"/>
      <c r="C47" s="173">
        <v>16</v>
      </c>
      <c r="D47" s="25"/>
      <c r="E47" s="121"/>
      <c r="F47" s="161"/>
      <c r="G47" s="161"/>
      <c r="H47" s="161"/>
      <c r="I47" s="161"/>
      <c r="J47" s="25"/>
      <c r="K47" s="81"/>
    </row>
    <row r="48" spans="2:11" s="146" customFormat="1" ht="15.75" thickBot="1">
      <c r="B48" s="884"/>
      <c r="C48" s="173">
        <v>17</v>
      </c>
      <c r="D48" s="25"/>
      <c r="E48" s="121"/>
      <c r="F48" s="161"/>
      <c r="G48" s="161"/>
      <c r="H48" s="161"/>
      <c r="I48" s="161"/>
      <c r="J48" s="25"/>
      <c r="K48" s="81"/>
    </row>
    <row r="49" spans="2:11" s="146" customFormat="1" ht="15.75" thickBot="1">
      <c r="B49" s="884"/>
      <c r="C49" s="173">
        <v>18</v>
      </c>
      <c r="D49" s="25"/>
      <c r="E49" s="121"/>
      <c r="F49" s="161"/>
      <c r="G49" s="161"/>
      <c r="H49" s="161"/>
      <c r="I49" s="161"/>
      <c r="J49" s="25"/>
      <c r="K49" s="81"/>
    </row>
    <row r="50" spans="2:11" s="146" customFormat="1" ht="15.75" thickBot="1">
      <c r="B50" s="884"/>
      <c r="C50" s="173">
        <v>19</v>
      </c>
      <c r="D50" s="25"/>
      <c r="E50" s="121"/>
      <c r="F50" s="161"/>
      <c r="G50" s="161"/>
      <c r="H50" s="161"/>
      <c r="I50" s="161"/>
      <c r="J50" s="25"/>
      <c r="K50" s="81"/>
    </row>
    <row r="51" spans="2:11" ht="15.75" thickBot="1">
      <c r="B51" s="838"/>
      <c r="C51" s="857"/>
      <c r="D51" s="845" t="s">
        <v>1604</v>
      </c>
      <c r="E51" s="845"/>
      <c r="F51" s="98">
        <f>SUM(F32:F50)</f>
        <v>2430000000</v>
      </c>
      <c r="G51" s="98">
        <f>SUM(G32:G50)</f>
        <v>2430000000</v>
      </c>
      <c r="H51" s="98">
        <f>SUM(H32:H50)</f>
        <v>959891740</v>
      </c>
      <c r="I51" s="98">
        <f>SUM(I32:I50)</f>
        <v>0</v>
      </c>
      <c r="J51" s="25"/>
      <c r="K51" s="85"/>
    </row>
    <row r="52" spans="2:11" ht="15.75" thickBot="1">
      <c r="B52" s="839"/>
      <c r="C52" s="69"/>
      <c r="D52" s="1041" t="s">
        <v>1744</v>
      </c>
      <c r="E52" s="1042"/>
      <c r="F52" s="1042"/>
      <c r="G52" s="1042"/>
      <c r="H52" s="1042"/>
      <c r="I52" s="1042"/>
      <c r="J52" s="1042"/>
      <c r="K52" s="1043"/>
    </row>
    <row r="53" spans="2:11" ht="36" customHeight="1" thickBot="1">
      <c r="B53" s="867" t="s">
        <v>1504</v>
      </c>
      <c r="C53" s="77"/>
      <c r="D53" s="1041" t="s">
        <v>1745</v>
      </c>
      <c r="E53" s="1042"/>
      <c r="F53" s="1042"/>
      <c r="G53" s="1042"/>
      <c r="H53" s="1042"/>
      <c r="I53" s="1042"/>
      <c r="J53" s="1042"/>
      <c r="K53" s="1043"/>
    </row>
    <row r="54" spans="2:11" ht="23.25" thickBot="1">
      <c r="B54" s="867" t="s">
        <v>1506</v>
      </c>
      <c r="C54" s="77"/>
      <c r="D54" s="1041" t="s">
        <v>1746</v>
      </c>
      <c r="E54" s="1042"/>
      <c r="F54" s="1042"/>
      <c r="G54" s="1042"/>
      <c r="H54" s="1042"/>
      <c r="I54" s="1042"/>
      <c r="J54" s="1042"/>
      <c r="K54" s="1043"/>
    </row>
    <row r="55" spans="2:11" ht="15.75" thickBot="1">
      <c r="B55" s="1"/>
      <c r="C55" s="55"/>
      <c r="D55" s="4"/>
      <c r="E55" s="4"/>
      <c r="F55" s="4"/>
      <c r="G55" s="4"/>
      <c r="H55" s="4"/>
      <c r="I55" s="4"/>
      <c r="J55" s="4"/>
      <c r="K55" s="4"/>
    </row>
    <row r="56" spans="2:11" ht="24" customHeight="1" thickBot="1">
      <c r="B56" s="1029" t="s">
        <v>1508</v>
      </c>
      <c r="C56" s="1030"/>
      <c r="D56" s="1030"/>
      <c r="E56" s="1031"/>
      <c r="F56" s="4"/>
      <c r="G56" s="4"/>
      <c r="H56" s="4"/>
      <c r="I56" s="4"/>
      <c r="J56" s="4"/>
      <c r="K56" s="4"/>
    </row>
    <row r="57" spans="2:11" ht="15.75" thickBot="1">
      <c r="B57" s="1032">
        <v>1</v>
      </c>
      <c r="C57" s="890"/>
      <c r="D57" s="37" t="s">
        <v>1509</v>
      </c>
      <c r="E57" s="25" t="s">
        <v>1510</v>
      </c>
      <c r="F57" s="4"/>
      <c r="G57" s="4"/>
      <c r="H57" s="4"/>
      <c r="I57" s="4"/>
      <c r="J57" s="4"/>
      <c r="K57" s="4"/>
    </row>
    <row r="58" spans="2:11" ht="36.75" thickBot="1">
      <c r="B58" s="1033"/>
      <c r="C58" s="890"/>
      <c r="D58" s="845" t="s">
        <v>10</v>
      </c>
      <c r="E58" s="24" t="s">
        <v>1614</v>
      </c>
      <c r="F58" s="4"/>
      <c r="G58" s="4"/>
      <c r="H58" s="4"/>
      <c r="I58" s="4"/>
      <c r="J58" s="4"/>
      <c r="K58" s="4"/>
    </row>
    <row r="59" spans="2:11" ht="24.75" thickBot="1">
      <c r="B59" s="1033"/>
      <c r="C59" s="890"/>
      <c r="D59" s="845" t="s">
        <v>1512</v>
      </c>
      <c r="E59" s="24" t="s">
        <v>1615</v>
      </c>
      <c r="F59" s="4"/>
      <c r="G59" s="4"/>
      <c r="H59" s="4"/>
      <c r="I59" s="4"/>
      <c r="J59" s="4"/>
      <c r="K59" s="4"/>
    </row>
    <row r="60" spans="2:11" ht="15.75" thickBot="1">
      <c r="B60" s="1033"/>
      <c r="C60" s="890"/>
      <c r="D60" s="845" t="s">
        <v>13</v>
      </c>
      <c r="E60" s="25" t="s">
        <v>1514</v>
      </c>
      <c r="F60" s="4"/>
      <c r="G60" s="4"/>
      <c r="H60" s="4"/>
      <c r="I60" s="4"/>
      <c r="J60" s="4"/>
      <c r="K60" s="4"/>
    </row>
    <row r="61" spans="2:11" ht="45.75" thickBot="1">
      <c r="B61" s="1033"/>
      <c r="C61" s="890"/>
      <c r="D61" s="845" t="s">
        <v>16</v>
      </c>
      <c r="E61" s="704" t="s">
        <v>1515</v>
      </c>
      <c r="F61" s="4"/>
      <c r="G61" s="4"/>
      <c r="H61" s="4"/>
      <c r="I61" s="4"/>
      <c r="J61" s="4"/>
      <c r="K61" s="4"/>
    </row>
    <row r="62" spans="2:11" ht="15.75" thickBot="1">
      <c r="B62" s="1033"/>
      <c r="C62" s="890"/>
      <c r="D62" s="845" t="s">
        <v>19</v>
      </c>
      <c r="E62" s="275">
        <v>3686626</v>
      </c>
      <c r="F62" s="4"/>
      <c r="G62" s="4"/>
      <c r="H62" s="4"/>
      <c r="I62" s="4"/>
      <c r="J62" s="4"/>
      <c r="K62" s="4"/>
    </row>
    <row r="63" spans="2:11" ht="24.75" thickBot="1">
      <c r="B63" s="1034"/>
      <c r="C63" s="857"/>
      <c r="D63" s="845" t="s">
        <v>1516</v>
      </c>
      <c r="E63" s="24" t="s">
        <v>1517</v>
      </c>
      <c r="F63" s="4"/>
      <c r="G63" s="4"/>
      <c r="H63" s="4"/>
      <c r="I63" s="4"/>
      <c r="J63" s="4"/>
      <c r="K63" s="4"/>
    </row>
    <row r="64" spans="2:11" ht="15.75" thickBot="1">
      <c r="B64" s="1"/>
      <c r="C64" s="55"/>
      <c r="D64" s="4"/>
      <c r="E64" s="4"/>
      <c r="F64" s="4"/>
      <c r="G64" s="4"/>
      <c r="H64" s="4"/>
      <c r="I64" s="4"/>
      <c r="J64" s="4"/>
      <c r="K64" s="4"/>
    </row>
    <row r="65" spans="2:11" ht="15.75" thickBot="1">
      <c r="B65" s="1029" t="s">
        <v>1518</v>
      </c>
      <c r="C65" s="1030"/>
      <c r="D65" s="1030"/>
      <c r="E65" s="1031"/>
      <c r="F65" s="4"/>
      <c r="G65" s="4"/>
      <c r="H65" s="4"/>
      <c r="I65" s="4"/>
      <c r="J65" s="4"/>
      <c r="K65" s="4"/>
    </row>
    <row r="66" spans="2:11" ht="15.75" thickBot="1">
      <c r="B66" s="1032">
        <v>1</v>
      </c>
      <c r="C66" s="890"/>
      <c r="D66" s="37" t="s">
        <v>1509</v>
      </c>
      <c r="E66" s="299" t="s">
        <v>1519</v>
      </c>
      <c r="F66" s="4"/>
      <c r="G66" s="4"/>
      <c r="H66" s="4"/>
      <c r="I66" s="4"/>
      <c r="J66" s="4"/>
      <c r="K66" s="4"/>
    </row>
    <row r="67" spans="2:11" ht="15.75" thickBot="1">
      <c r="B67" s="1033"/>
      <c r="C67" s="890"/>
      <c r="D67" s="845" t="s">
        <v>10</v>
      </c>
      <c r="E67" s="299" t="s">
        <v>1520</v>
      </c>
      <c r="F67" s="4"/>
      <c r="G67" s="4"/>
      <c r="H67" s="4"/>
      <c r="I67" s="4"/>
      <c r="J67" s="4"/>
      <c r="K67" s="4"/>
    </row>
    <row r="68" spans="2:11" ht="15.75" thickBot="1">
      <c r="B68" s="1033"/>
      <c r="C68" s="890"/>
      <c r="D68" s="845" t="s">
        <v>1512</v>
      </c>
      <c r="E68" s="205"/>
      <c r="F68" s="4"/>
      <c r="G68" s="4"/>
      <c r="H68" s="4"/>
      <c r="I68" s="4"/>
      <c r="J68" s="4"/>
      <c r="K68" s="4"/>
    </row>
    <row r="69" spans="2:11" ht="15.75" thickBot="1">
      <c r="B69" s="1033"/>
      <c r="C69" s="890"/>
      <c r="D69" s="845" t="s">
        <v>13</v>
      </c>
      <c r="E69" s="205"/>
      <c r="F69" s="4"/>
      <c r="G69" s="4"/>
      <c r="H69" s="4"/>
      <c r="I69" s="4"/>
      <c r="J69" s="4"/>
      <c r="K69" s="4"/>
    </row>
    <row r="70" spans="2:11" ht="15.75" thickBot="1">
      <c r="B70" s="1033"/>
      <c r="C70" s="890"/>
      <c r="D70" s="845" t="s">
        <v>16</v>
      </c>
      <c r="E70" s="205"/>
      <c r="F70" s="4"/>
      <c r="G70" s="4"/>
      <c r="H70" s="4"/>
      <c r="I70" s="4"/>
      <c r="J70" s="4"/>
      <c r="K70" s="4"/>
    </row>
    <row r="71" spans="2:11" ht="15.75" thickBot="1">
      <c r="B71" s="1033"/>
      <c r="C71" s="890"/>
      <c r="D71" s="845" t="s">
        <v>19</v>
      </c>
      <c r="E71" s="205"/>
      <c r="F71" s="4"/>
      <c r="G71" s="4"/>
      <c r="H71" s="4"/>
      <c r="I71" s="4"/>
      <c r="J71" s="4"/>
      <c r="K71" s="4"/>
    </row>
    <row r="72" spans="2:11" ht="15.75" thickBot="1">
      <c r="B72" s="1034"/>
      <c r="C72" s="857"/>
      <c r="D72" s="845" t="s">
        <v>1516</v>
      </c>
      <c r="E72" s="205"/>
      <c r="F72" s="4"/>
      <c r="G72" s="4"/>
      <c r="H72" s="4"/>
      <c r="I72" s="4"/>
      <c r="J72" s="4"/>
      <c r="K72" s="4"/>
    </row>
    <row r="73" spans="2:11" ht="15.75" thickBot="1">
      <c r="B73" s="1"/>
      <c r="C73" s="55"/>
      <c r="D73" s="4"/>
      <c r="E73" s="4"/>
      <c r="F73" s="4"/>
      <c r="G73" s="4"/>
      <c r="H73" s="4"/>
      <c r="I73" s="4"/>
      <c r="J73" s="4"/>
      <c r="K73" s="4"/>
    </row>
    <row r="74" spans="2:11" ht="15.75" thickBot="1">
      <c r="B74" s="1029" t="s">
        <v>1521</v>
      </c>
      <c r="C74" s="1030"/>
      <c r="D74" s="1030"/>
      <c r="E74" s="1030"/>
      <c r="F74" s="1031"/>
      <c r="G74" s="4"/>
      <c r="H74" s="4"/>
      <c r="I74" s="4"/>
      <c r="J74" s="4"/>
      <c r="K74" s="4"/>
    </row>
    <row r="75" spans="2:11" ht="24.75" thickBot="1">
      <c r="B75" s="839" t="s">
        <v>1522</v>
      </c>
      <c r="C75" s="845" t="s">
        <v>1523</v>
      </c>
      <c r="D75" s="845" t="s">
        <v>1524</v>
      </c>
      <c r="E75" s="845" t="s">
        <v>1525</v>
      </c>
      <c r="F75" s="4"/>
      <c r="G75" s="4"/>
      <c r="H75" s="4"/>
      <c r="I75" s="4"/>
      <c r="J75" s="4"/>
    </row>
    <row r="76" spans="2:11" ht="96.75" thickBot="1">
      <c r="B76" s="38">
        <v>42401</v>
      </c>
      <c r="C76" s="845">
        <v>0.01</v>
      </c>
      <c r="D76" s="830" t="s">
        <v>1747</v>
      </c>
      <c r="E76" s="845"/>
      <c r="F76" s="4"/>
      <c r="G76" s="4"/>
      <c r="H76" s="4"/>
      <c r="I76" s="4"/>
      <c r="J76" s="4"/>
    </row>
    <row r="77" spans="2:11" ht="15.75" thickBot="1">
      <c r="B77" s="1"/>
      <c r="C77" s="55"/>
      <c r="D77" s="4"/>
      <c r="E77" s="4"/>
      <c r="F77" s="4"/>
      <c r="G77" s="4"/>
      <c r="H77" s="4"/>
      <c r="I77" s="4"/>
      <c r="J77" s="4"/>
      <c r="K77" s="4"/>
    </row>
    <row r="78" spans="2:11" ht="15.75" thickBot="1">
      <c r="B78" s="3" t="s">
        <v>1406</v>
      </c>
      <c r="C78" s="705"/>
      <c r="D78" s="4"/>
      <c r="E78" s="4"/>
      <c r="F78" s="4"/>
      <c r="G78" s="4"/>
      <c r="H78" s="4"/>
      <c r="I78" s="4"/>
      <c r="J78" s="4"/>
      <c r="K78" s="4"/>
    </row>
    <row r="79" spans="2:11">
      <c r="B79" s="1081"/>
      <c r="C79" s="1082"/>
      <c r="D79" s="1082"/>
      <c r="E79" s="1082"/>
      <c r="F79" s="1082"/>
      <c r="G79" s="1082"/>
      <c r="H79" s="1082"/>
      <c r="I79" s="1082"/>
      <c r="J79" s="1082"/>
      <c r="K79" s="4"/>
    </row>
    <row r="80" spans="2:11" ht="15.75" thickBot="1">
      <c r="B80" s="1081"/>
      <c r="C80" s="1082"/>
      <c r="D80" s="1082"/>
      <c r="E80" s="1082"/>
      <c r="F80" s="1082"/>
      <c r="G80" s="1082"/>
      <c r="H80" s="1082"/>
      <c r="I80" s="1082"/>
      <c r="J80" s="1082"/>
      <c r="K80" s="4"/>
    </row>
    <row r="81" spans="2:11" ht="15.75" thickBot="1">
      <c r="B81" s="1029" t="s">
        <v>1527</v>
      </c>
      <c r="C81" s="1030"/>
      <c r="D81" s="1031"/>
      <c r="E81" s="4"/>
      <c r="F81" s="4"/>
      <c r="G81" s="4"/>
      <c r="H81" s="4"/>
      <c r="I81" s="4"/>
      <c r="J81" s="4"/>
      <c r="K81" s="4"/>
    </row>
    <row r="82" spans="2:11" ht="120.75" thickBot="1">
      <c r="B82" s="839" t="s">
        <v>1528</v>
      </c>
      <c r="C82" s="857"/>
      <c r="D82" s="845" t="s">
        <v>1748</v>
      </c>
      <c r="E82" s="4"/>
      <c r="F82" s="4"/>
      <c r="G82" s="4"/>
      <c r="H82" s="4"/>
      <c r="I82" s="4"/>
      <c r="J82" s="4"/>
      <c r="K82" s="4"/>
    </row>
    <row r="83" spans="2:11">
      <c r="B83" s="1032" t="s">
        <v>1530</v>
      </c>
      <c r="C83" s="890"/>
      <c r="D83" s="836" t="s">
        <v>1531</v>
      </c>
      <c r="E83" s="4"/>
      <c r="F83" s="4"/>
      <c r="G83" s="4"/>
      <c r="H83" s="4"/>
      <c r="I83" s="4"/>
      <c r="J83" s="4"/>
      <c r="K83" s="4"/>
    </row>
    <row r="84" spans="2:11" ht="72">
      <c r="B84" s="1033"/>
      <c r="C84" s="890"/>
      <c r="D84" s="829" t="s">
        <v>1749</v>
      </c>
      <c r="E84" s="4"/>
      <c r="F84" s="4"/>
      <c r="G84" s="4"/>
      <c r="H84" s="4"/>
      <c r="I84" s="4"/>
      <c r="J84" s="4" t="s">
        <v>154</v>
      </c>
      <c r="K84" s="4"/>
    </row>
    <row r="85" spans="2:11" ht="48">
      <c r="B85" s="1033"/>
      <c r="C85" s="890"/>
      <c r="D85" s="829" t="s">
        <v>1750</v>
      </c>
      <c r="E85" s="4"/>
      <c r="F85" s="4"/>
      <c r="G85" s="4"/>
      <c r="H85" s="4"/>
      <c r="I85" s="4"/>
      <c r="J85" s="4"/>
      <c r="K85" s="4"/>
    </row>
    <row r="86" spans="2:11">
      <c r="B86" s="1033"/>
      <c r="C86" s="890"/>
      <c r="D86" s="836" t="s">
        <v>1751</v>
      </c>
      <c r="E86" s="4"/>
      <c r="F86" s="4"/>
      <c r="G86" s="4"/>
      <c r="H86" s="4"/>
      <c r="I86" s="4"/>
      <c r="J86" s="4"/>
      <c r="K86" s="4"/>
    </row>
    <row r="87" spans="2:11">
      <c r="B87" s="1033"/>
      <c r="C87" s="890"/>
      <c r="D87" s="829" t="s">
        <v>1535</v>
      </c>
      <c r="E87" s="4"/>
      <c r="F87" s="4"/>
      <c r="G87" s="4"/>
      <c r="H87" s="4"/>
      <c r="I87" s="4"/>
      <c r="J87" s="4"/>
      <c r="K87" s="4"/>
    </row>
    <row r="88" spans="2:11">
      <c r="B88" s="1033"/>
      <c r="C88" s="890"/>
      <c r="D88" s="829" t="s">
        <v>1651</v>
      </c>
      <c r="E88" s="4"/>
      <c r="F88" s="4"/>
      <c r="G88" s="4"/>
      <c r="H88" s="4"/>
      <c r="I88" s="4"/>
      <c r="J88" s="4"/>
      <c r="K88" s="4"/>
    </row>
    <row r="89" spans="2:11" ht="15.75" thickBot="1">
      <c r="B89" s="1034"/>
      <c r="C89" s="857"/>
      <c r="D89" s="845" t="s">
        <v>1752</v>
      </c>
      <c r="E89" s="4"/>
      <c r="F89" s="4"/>
      <c r="G89" s="4"/>
      <c r="H89" s="4"/>
      <c r="I89" s="4"/>
      <c r="J89" s="4"/>
      <c r="K89" s="4"/>
    </row>
    <row r="90" spans="2:11" ht="24.75" thickBot="1">
      <c r="B90" s="839" t="s">
        <v>1543</v>
      </c>
      <c r="C90" s="857"/>
      <c r="D90" s="845"/>
      <c r="E90" s="4"/>
      <c r="F90" s="4"/>
      <c r="G90" s="4"/>
      <c r="H90" s="4"/>
      <c r="I90" s="4"/>
      <c r="J90" s="4"/>
      <c r="K90" s="4"/>
    </row>
    <row r="91" spans="2:11" ht="156">
      <c r="B91" s="1032" t="s">
        <v>1544</v>
      </c>
      <c r="C91" s="890"/>
      <c r="D91" s="829" t="s">
        <v>1753</v>
      </c>
      <c r="E91" s="4"/>
      <c r="F91" s="4"/>
      <c r="G91" s="4"/>
      <c r="H91" s="4"/>
      <c r="I91" s="4"/>
      <c r="J91" s="4"/>
      <c r="K91" s="4"/>
    </row>
    <row r="92" spans="2:11" ht="132.75" thickBot="1">
      <c r="B92" s="1034"/>
      <c r="C92" s="857"/>
      <c r="D92" s="845" t="s">
        <v>1754</v>
      </c>
      <c r="E92" s="4"/>
      <c r="F92" s="4"/>
      <c r="G92" s="4"/>
      <c r="H92" s="4"/>
      <c r="I92" s="4"/>
      <c r="J92" s="4"/>
      <c r="K92" s="4"/>
    </row>
    <row r="93" spans="2:11" ht="29.45" customHeight="1">
      <c r="B93" s="1032" t="s">
        <v>1561</v>
      </c>
      <c r="C93" s="890"/>
      <c r="D93" s="829" t="s">
        <v>1562</v>
      </c>
      <c r="E93" s="4"/>
      <c r="F93" s="4"/>
      <c r="G93" s="4"/>
      <c r="H93" s="4"/>
      <c r="I93" s="4"/>
      <c r="J93" s="4"/>
      <c r="K93" s="4"/>
    </row>
    <row r="94" spans="2:11" ht="73.5">
      <c r="B94" s="1033"/>
      <c r="C94" s="890"/>
      <c r="D94" s="829" t="s">
        <v>1755</v>
      </c>
      <c r="E94" s="4"/>
      <c r="F94" s="4"/>
      <c r="G94" s="4"/>
      <c r="H94" s="4"/>
      <c r="I94" s="4"/>
      <c r="J94" s="4"/>
      <c r="K94" s="4"/>
    </row>
    <row r="95" spans="2:11" ht="37.5">
      <c r="B95" s="1033"/>
      <c r="C95" s="890"/>
      <c r="D95" s="829" t="s">
        <v>1756</v>
      </c>
      <c r="E95" s="4"/>
      <c r="F95" s="4"/>
      <c r="G95" s="4"/>
      <c r="H95" s="4"/>
      <c r="I95" s="4"/>
      <c r="J95" s="4"/>
      <c r="K95" s="4"/>
    </row>
    <row r="96" spans="2:11" ht="37.5">
      <c r="B96" s="1033"/>
      <c r="C96" s="890"/>
      <c r="D96" s="829" t="s">
        <v>1757</v>
      </c>
      <c r="E96" s="4"/>
      <c r="F96" s="4"/>
      <c r="G96" s="4"/>
      <c r="H96" s="4"/>
      <c r="I96" s="4"/>
      <c r="J96" s="4"/>
      <c r="K96" s="4"/>
    </row>
    <row r="97" spans="2:11" ht="37.5">
      <c r="B97" s="1033"/>
      <c r="C97" s="890"/>
      <c r="D97" s="829" t="s">
        <v>1758</v>
      </c>
      <c r="E97" s="4"/>
      <c r="F97" s="4"/>
      <c r="G97" s="4"/>
      <c r="H97" s="4"/>
      <c r="I97" s="4"/>
      <c r="J97" s="4"/>
      <c r="K97" s="4"/>
    </row>
    <row r="98" spans="2:11">
      <c r="B98" s="1033"/>
      <c r="C98" s="890"/>
      <c r="D98" s="829" t="s">
        <v>1759</v>
      </c>
      <c r="E98" s="4"/>
      <c r="F98" s="4"/>
      <c r="G98" s="4"/>
      <c r="H98" s="4"/>
      <c r="I98" s="4"/>
      <c r="J98" s="4"/>
      <c r="K98" s="4"/>
    </row>
    <row r="99" spans="2:11">
      <c r="B99" s="1033"/>
      <c r="C99" s="890"/>
      <c r="D99" s="829" t="s">
        <v>1760</v>
      </c>
      <c r="E99" s="4"/>
      <c r="F99" s="4"/>
      <c r="G99" s="4"/>
      <c r="H99" s="4"/>
      <c r="I99" s="4"/>
      <c r="J99" s="4"/>
      <c r="K99" s="4"/>
    </row>
    <row r="100" spans="2:11">
      <c r="B100" s="1033"/>
      <c r="C100" s="890"/>
      <c r="D100" s="829" t="s">
        <v>1761</v>
      </c>
      <c r="E100" s="4"/>
      <c r="F100" s="4"/>
      <c r="G100" s="4"/>
      <c r="H100" s="4"/>
      <c r="I100" s="4"/>
      <c r="J100" s="4"/>
      <c r="K100" s="4"/>
    </row>
    <row r="101" spans="2:11">
      <c r="B101" s="1033"/>
      <c r="C101" s="890"/>
      <c r="D101" s="829" t="s">
        <v>1570</v>
      </c>
      <c r="E101" s="4"/>
      <c r="F101" s="4"/>
      <c r="G101" s="4"/>
      <c r="H101" s="4"/>
      <c r="I101" s="4"/>
      <c r="J101" s="4"/>
      <c r="K101" s="4"/>
    </row>
    <row r="102" spans="2:11" ht="84">
      <c r="B102" s="1033"/>
      <c r="C102" s="890"/>
      <c r="D102" s="41" t="s">
        <v>1762</v>
      </c>
      <c r="E102" s="4"/>
      <c r="F102" s="4"/>
      <c r="G102" s="4"/>
      <c r="H102" s="4"/>
      <c r="I102" s="4"/>
      <c r="J102" s="4"/>
      <c r="K102" s="4"/>
    </row>
    <row r="103" spans="2:11" ht="24">
      <c r="B103" s="1033"/>
      <c r="C103" s="890"/>
      <c r="D103" s="836" t="s">
        <v>1763</v>
      </c>
      <c r="E103" s="4"/>
      <c r="F103" s="4"/>
      <c r="G103" s="4"/>
      <c r="H103" s="4"/>
      <c r="I103" s="4"/>
      <c r="J103" s="4"/>
      <c r="K103" s="4"/>
    </row>
    <row r="104" spans="2:11">
      <c r="B104" s="1033"/>
      <c r="C104" s="890"/>
      <c r="D104" s="826"/>
      <c r="E104" s="4"/>
      <c r="F104" s="4"/>
      <c r="G104" s="4"/>
      <c r="H104" s="4"/>
      <c r="I104" s="4"/>
      <c r="J104" s="4"/>
      <c r="K104" s="4"/>
    </row>
    <row r="105" spans="2:11">
      <c r="B105" s="1033"/>
      <c r="C105" s="890"/>
      <c r="D105" s="829" t="s">
        <v>1562</v>
      </c>
      <c r="E105" s="4"/>
      <c r="F105" s="4"/>
      <c r="G105" s="4"/>
      <c r="H105" s="4"/>
      <c r="I105" s="4"/>
      <c r="J105" s="4"/>
      <c r="K105" s="4"/>
    </row>
    <row r="106" spans="2:11" ht="37.5">
      <c r="B106" s="1033"/>
      <c r="C106" s="890"/>
      <c r="D106" s="829" t="s">
        <v>1756</v>
      </c>
      <c r="E106" s="4"/>
      <c r="F106" s="4"/>
      <c r="G106" s="4"/>
      <c r="H106" s="4"/>
      <c r="I106" s="4"/>
      <c r="J106" s="4"/>
      <c r="K106" s="4"/>
    </row>
    <row r="107" spans="2:11" ht="25.5">
      <c r="B107" s="1033"/>
      <c r="C107" s="890"/>
      <c r="D107" s="829" t="s">
        <v>1764</v>
      </c>
      <c r="E107" s="4"/>
      <c r="F107" s="4"/>
      <c r="G107" s="4"/>
      <c r="H107" s="4"/>
      <c r="I107" s="4"/>
      <c r="J107" s="4"/>
      <c r="K107" s="4"/>
    </row>
    <row r="108" spans="2:11">
      <c r="B108" s="1033"/>
      <c r="C108" s="890"/>
      <c r="D108" s="829" t="s">
        <v>1765</v>
      </c>
      <c r="E108" s="4"/>
      <c r="F108" s="4"/>
      <c r="G108" s="4"/>
      <c r="H108" s="4"/>
      <c r="I108" s="4"/>
      <c r="J108" s="4"/>
      <c r="K108" s="4"/>
    </row>
    <row r="109" spans="2:11">
      <c r="B109" s="1033"/>
      <c r="C109" s="890"/>
      <c r="D109" s="836" t="s">
        <v>1766</v>
      </c>
      <c r="E109" s="4"/>
      <c r="F109" s="4"/>
      <c r="G109" s="4"/>
      <c r="H109" s="4"/>
      <c r="I109" s="4"/>
      <c r="J109" s="4"/>
      <c r="K109" s="4"/>
    </row>
    <row r="110" spans="2:11">
      <c r="B110" s="1033"/>
      <c r="C110" s="890"/>
      <c r="D110" s="826"/>
      <c r="E110" s="4"/>
      <c r="F110" s="4"/>
      <c r="G110" s="4"/>
      <c r="H110" s="4"/>
      <c r="I110" s="4"/>
      <c r="J110" s="4"/>
      <c r="K110" s="4"/>
    </row>
    <row r="111" spans="2:11">
      <c r="B111" s="1033"/>
      <c r="C111" s="890"/>
      <c r="D111" s="829" t="s">
        <v>1562</v>
      </c>
      <c r="E111" s="4"/>
      <c r="F111" s="4"/>
      <c r="G111" s="4"/>
      <c r="H111" s="4"/>
      <c r="I111" s="4"/>
      <c r="J111" s="4"/>
      <c r="K111" s="4"/>
    </row>
    <row r="112" spans="2:11" ht="37.5">
      <c r="B112" s="1033"/>
      <c r="C112" s="890"/>
      <c r="D112" s="829" t="s">
        <v>1757</v>
      </c>
      <c r="E112" s="4"/>
      <c r="F112" s="4"/>
      <c r="G112" s="4"/>
      <c r="H112" s="4"/>
      <c r="I112" s="4"/>
      <c r="J112" s="4"/>
      <c r="K112" s="4"/>
    </row>
    <row r="113" spans="2:11" ht="25.5">
      <c r="B113" s="1033"/>
      <c r="C113" s="890"/>
      <c r="D113" s="829" t="s">
        <v>1767</v>
      </c>
      <c r="E113" s="4"/>
      <c r="F113" s="4"/>
      <c r="G113" s="4"/>
      <c r="H113" s="4"/>
      <c r="I113" s="4"/>
      <c r="J113" s="4"/>
      <c r="K113" s="4"/>
    </row>
    <row r="114" spans="2:11">
      <c r="B114" s="1033"/>
      <c r="C114" s="890"/>
      <c r="D114" s="829" t="s">
        <v>1768</v>
      </c>
      <c r="E114" s="4"/>
      <c r="F114" s="4"/>
      <c r="G114" s="4"/>
      <c r="H114" s="4"/>
      <c r="I114" s="4"/>
      <c r="J114" s="4"/>
      <c r="K114" s="4"/>
    </row>
    <row r="115" spans="2:11">
      <c r="B115" s="1033"/>
      <c r="C115" s="890"/>
      <c r="D115" s="836" t="s">
        <v>1769</v>
      </c>
      <c r="E115" s="4"/>
      <c r="F115" s="4"/>
      <c r="G115" s="4"/>
      <c r="H115" s="4"/>
      <c r="I115" s="4"/>
      <c r="J115" s="4"/>
      <c r="K115" s="4"/>
    </row>
    <row r="116" spans="2:11">
      <c r="B116" s="1033"/>
      <c r="C116" s="890"/>
      <c r="D116" s="826"/>
      <c r="E116" s="4"/>
      <c r="F116" s="4"/>
      <c r="G116" s="4"/>
      <c r="H116" s="4"/>
      <c r="I116" s="4"/>
      <c r="J116" s="4"/>
      <c r="K116" s="4"/>
    </row>
    <row r="117" spans="2:11">
      <c r="B117" s="1033"/>
      <c r="C117" s="890"/>
      <c r="D117" s="829" t="s">
        <v>1562</v>
      </c>
      <c r="E117" s="4"/>
      <c r="F117" s="4"/>
      <c r="G117" s="4"/>
      <c r="H117" s="4"/>
      <c r="I117" s="4"/>
      <c r="J117" s="4"/>
      <c r="K117" s="4"/>
    </row>
    <row r="118" spans="2:11" ht="37.5">
      <c r="B118" s="1033"/>
      <c r="C118" s="890"/>
      <c r="D118" s="829" t="s">
        <v>1770</v>
      </c>
      <c r="E118" s="4"/>
      <c r="F118" s="4"/>
      <c r="G118" s="4"/>
      <c r="H118" s="4"/>
      <c r="I118" s="4"/>
      <c r="J118" s="4"/>
      <c r="K118" s="4"/>
    </row>
    <row r="119" spans="2:11" ht="25.5">
      <c r="B119" s="1033"/>
      <c r="C119" s="890"/>
      <c r="D119" s="829" t="s">
        <v>1771</v>
      </c>
      <c r="E119" s="4"/>
      <c r="F119" s="4"/>
      <c r="G119" s="4"/>
      <c r="H119" s="4"/>
      <c r="I119" s="4"/>
      <c r="J119" s="4"/>
      <c r="K119" s="4"/>
    </row>
    <row r="120" spans="2:11">
      <c r="B120" s="1033"/>
      <c r="C120" s="890"/>
      <c r="D120" s="829" t="s">
        <v>1772</v>
      </c>
      <c r="E120" s="4"/>
      <c r="F120" s="4"/>
      <c r="G120" s="4"/>
      <c r="H120" s="4"/>
      <c r="I120" s="4"/>
      <c r="J120" s="4"/>
      <c r="K120" s="4"/>
    </row>
    <row r="121" spans="2:11">
      <c r="B121" s="1033"/>
      <c r="C121" s="890"/>
      <c r="D121" s="836" t="s">
        <v>1726</v>
      </c>
      <c r="E121" s="4"/>
      <c r="F121" s="4"/>
      <c r="G121" s="4"/>
      <c r="H121" s="4"/>
      <c r="I121" s="4"/>
      <c r="J121" s="4"/>
      <c r="K121" s="4"/>
    </row>
    <row r="122" spans="2:11" ht="36">
      <c r="B122" s="1033"/>
      <c r="C122" s="890"/>
      <c r="D122" s="836" t="s">
        <v>1727</v>
      </c>
      <c r="E122" s="4"/>
      <c r="F122" s="4"/>
      <c r="G122" s="4"/>
      <c r="H122" s="4"/>
      <c r="I122" s="4"/>
      <c r="J122" s="4"/>
      <c r="K122" s="4"/>
    </row>
    <row r="123" spans="2:11">
      <c r="B123" s="1033"/>
      <c r="C123" s="890"/>
      <c r="D123" s="829" t="s">
        <v>1773</v>
      </c>
      <c r="E123" s="4"/>
      <c r="F123" s="4"/>
      <c r="G123" s="4"/>
      <c r="H123" s="4"/>
      <c r="I123" s="4"/>
      <c r="J123" s="4"/>
      <c r="K123" s="4"/>
    </row>
    <row r="124" spans="2:11">
      <c r="B124" s="1033"/>
      <c r="C124" s="890"/>
      <c r="D124" s="829" t="s">
        <v>1562</v>
      </c>
      <c r="E124" s="4"/>
      <c r="F124" s="4"/>
      <c r="G124" s="4"/>
      <c r="H124" s="4"/>
      <c r="I124" s="4"/>
      <c r="J124" s="4"/>
      <c r="K124" s="4"/>
    </row>
    <row r="125" spans="2:11" ht="49.5">
      <c r="B125" s="1033"/>
      <c r="C125" s="890"/>
      <c r="D125" s="829" t="s">
        <v>1774</v>
      </c>
      <c r="E125" s="4"/>
      <c r="F125" s="4"/>
      <c r="G125" s="4"/>
      <c r="H125" s="4"/>
      <c r="I125" s="4"/>
      <c r="J125" s="4"/>
      <c r="K125" s="4"/>
    </row>
    <row r="126" spans="2:11" ht="49.5">
      <c r="B126" s="1033"/>
      <c r="C126" s="890"/>
      <c r="D126" s="829" t="s">
        <v>1775</v>
      </c>
      <c r="E126" s="4"/>
      <c r="F126" s="4"/>
      <c r="G126" s="4"/>
      <c r="H126" s="4"/>
      <c r="I126" s="4"/>
      <c r="J126" s="4"/>
      <c r="K126" s="4"/>
    </row>
    <row r="127" spans="2:11" ht="50.25" thickBot="1">
      <c r="B127" s="1034"/>
      <c r="C127" s="857"/>
      <c r="D127" s="845" t="s">
        <v>1776</v>
      </c>
      <c r="E127" s="4"/>
      <c r="F127" s="4"/>
      <c r="G127" s="4"/>
      <c r="H127" s="4"/>
      <c r="I127" s="4"/>
      <c r="J127" s="4"/>
      <c r="K127" s="4"/>
    </row>
  </sheetData>
  <sheetProtection insertRows="0"/>
  <mergeCells count="29">
    <mergeCell ref="A1:P1"/>
    <mergeCell ref="A2:P2"/>
    <mergeCell ref="A3:P3"/>
    <mergeCell ref="A4:D4"/>
    <mergeCell ref="A5:P5"/>
    <mergeCell ref="B79:J80"/>
    <mergeCell ref="B57:B63"/>
    <mergeCell ref="B65:E65"/>
    <mergeCell ref="D29:K29"/>
    <mergeCell ref="D30:K30"/>
    <mergeCell ref="D53:K53"/>
    <mergeCell ref="D54:K54"/>
    <mergeCell ref="B56:E56"/>
    <mergeCell ref="B93:B127"/>
    <mergeCell ref="B66:B72"/>
    <mergeCell ref="B74:F74"/>
    <mergeCell ref="B10:D10"/>
    <mergeCell ref="F10:S10"/>
    <mergeCell ref="F11:S11"/>
    <mergeCell ref="E12:R12"/>
    <mergeCell ref="E13:R13"/>
    <mergeCell ref="D52:K52"/>
    <mergeCell ref="B15:B26"/>
    <mergeCell ref="B81:D81"/>
    <mergeCell ref="B83:B89"/>
    <mergeCell ref="B91:B92"/>
    <mergeCell ref="D15:K15"/>
    <mergeCell ref="D16:K16"/>
    <mergeCell ref="D28:K28"/>
  </mergeCells>
  <conditionalFormatting sqref="F10">
    <cfRule type="notContainsBlanks" dxfId="108" priority="4">
      <formula>LEN(TRIM(F10))&gt;0</formula>
    </cfRule>
  </conditionalFormatting>
  <conditionalFormatting sqref="F11:S11">
    <cfRule type="expression" dxfId="107" priority="2">
      <formula>E11="NO SE REPORTA"</formula>
    </cfRule>
    <cfRule type="expression" dxfId="106" priority="3">
      <formula>E10="NO APLICA"</formula>
    </cfRule>
  </conditionalFormatting>
  <conditionalFormatting sqref="E12:R12">
    <cfRule type="expression" dxfId="105"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E00-000000000000}">
      <formula1>0</formula1>
    </dataValidation>
    <dataValidation type="whole" operator="greaterThanOrEqual" allowBlank="1" showInputMessage="1" showErrorMessage="1" errorTitle="ERROR" error="Valor en PESOS (sin centavos)" sqref="F32:I50" xr:uid="{00000000-0002-0000-0E00-000001000000}">
      <formula1>0</formula1>
    </dataValidation>
    <dataValidation type="textLength" allowBlank="1" showInputMessage="1" showErrorMessage="1" errorTitle="ERROR" error="Escriba POMCA, PMM o PMA" promptTitle="ESCRIBA" prompt="POMCA, PMA o PMM" sqref="E32:E50" xr:uid="{00000000-0002-0000-0E00-000002000000}">
      <formula1>1</formula1>
      <formula2>5</formula2>
    </dataValidation>
    <dataValidation type="list" allowBlank="1" showInputMessage="1" showErrorMessage="1" sqref="E11" xr:uid="{00000000-0002-0000-0E00-000003000000}">
      <formula1>REPORTE</formula1>
    </dataValidation>
    <dataValidation type="list" allowBlank="1" showInputMessage="1" showErrorMessage="1" sqref="E10" xr:uid="{00000000-0002-0000-0E00-000004000000}">
      <formula1>SI</formula1>
    </dataValidation>
  </dataValidations>
  <hyperlinks>
    <hyperlink ref="B9" location="'ANEXO 3'!A1" display="VOLVER AL INDICE" xr:uid="{00000000-0004-0000-0E00-000000000000}"/>
    <hyperlink ref="E61" r:id="rId1" xr:uid="{00000000-0004-0000-0E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U101"/>
  <sheetViews>
    <sheetView showGridLines="0" topLeftCell="A4" zoomScale="98" zoomScaleNormal="98" workbookViewId="0">
      <selection activeCell="F10" sqref="F10:S10"/>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739</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INFORMACION",+E19))</f>
        <v>1</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1777</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6" customHeight="1" thickTop="1" thickBot="1">
      <c r="B15" s="1088" t="s">
        <v>1449</v>
      </c>
      <c r="C15" s="65"/>
      <c r="D15" s="1041" t="s">
        <v>1450</v>
      </c>
      <c r="E15" s="1042"/>
      <c r="F15" s="1042"/>
      <c r="G15" s="1042"/>
      <c r="H15" s="1042"/>
      <c r="I15" s="1043"/>
      <c r="J15" s="4"/>
      <c r="K15" s="4"/>
    </row>
    <row r="16" spans="1:21" ht="15.75" thickBot="1">
      <c r="B16" s="1004"/>
      <c r="C16" s="890"/>
      <c r="D16" s="842" t="s">
        <v>1603</v>
      </c>
      <c r="E16" s="872" t="s">
        <v>1487</v>
      </c>
      <c r="F16" s="872" t="s">
        <v>1488</v>
      </c>
      <c r="G16" s="872" t="s">
        <v>1489</v>
      </c>
      <c r="H16" s="872" t="s">
        <v>1490</v>
      </c>
      <c r="I16" s="718"/>
      <c r="J16" s="4"/>
      <c r="K16" s="4"/>
    </row>
    <row r="17" spans="2:11" ht="60.75" thickBot="1">
      <c r="B17" s="1004"/>
      <c r="C17" s="890"/>
      <c r="D17" s="719" t="s">
        <v>1778</v>
      </c>
      <c r="E17" s="160">
        <v>23</v>
      </c>
      <c r="F17" s="160">
        <v>23</v>
      </c>
      <c r="G17" s="160">
        <v>23</v>
      </c>
      <c r="H17" s="160">
        <v>23</v>
      </c>
      <c r="I17" s="214"/>
      <c r="J17" s="4"/>
      <c r="K17" s="4"/>
    </row>
    <row r="18" spans="2:11" ht="60.75" thickBot="1">
      <c r="B18" s="1004"/>
      <c r="C18" s="890"/>
      <c r="D18" s="719" t="s">
        <v>1779</v>
      </c>
      <c r="E18" s="160">
        <v>23</v>
      </c>
      <c r="F18" s="160"/>
      <c r="G18" s="160"/>
      <c r="H18" s="160"/>
      <c r="I18" s="214"/>
      <c r="J18" s="4"/>
      <c r="K18" s="4"/>
    </row>
    <row r="19" spans="2:11" ht="60.75" thickBot="1">
      <c r="B19" s="1004"/>
      <c r="C19" s="890"/>
      <c r="D19" s="719" t="s">
        <v>1780</v>
      </c>
      <c r="E19" s="143">
        <f>IFERROR(E18/E17,"N.A.")</f>
        <v>1</v>
      </c>
      <c r="F19" s="143">
        <f>IFERROR(F18/F17,"N.A.")</f>
        <v>0</v>
      </c>
      <c r="G19" s="143">
        <f>IFERROR(G18/G17,"N.A.")</f>
        <v>0</v>
      </c>
      <c r="H19" s="143">
        <f>IFERROR(H18/H17,"N.A.")</f>
        <v>0</v>
      </c>
      <c r="I19" s="207"/>
      <c r="J19" s="4"/>
      <c r="K19" s="4"/>
    </row>
    <row r="20" spans="2:11" ht="15.75" thickBot="1">
      <c r="B20" s="1004"/>
      <c r="C20" s="68"/>
      <c r="D20" s="1009" t="s">
        <v>1781</v>
      </c>
      <c r="E20" s="1010"/>
      <c r="F20" s="1010"/>
      <c r="G20" s="1010"/>
      <c r="H20" s="1010"/>
      <c r="I20" s="1011"/>
      <c r="J20" s="4"/>
      <c r="K20" s="4"/>
    </row>
    <row r="21" spans="2:11" ht="21" customHeight="1">
      <c r="B21" s="838"/>
      <c r="C21" s="1089" t="s">
        <v>1402</v>
      </c>
      <c r="D21" s="1091" t="s">
        <v>1782</v>
      </c>
      <c r="E21" s="1093" t="s">
        <v>1783</v>
      </c>
      <c r="F21" s="1093" t="s">
        <v>1784</v>
      </c>
      <c r="G21" s="1093" t="s">
        <v>1406</v>
      </c>
      <c r="I21" s="17"/>
      <c r="J21" s="4"/>
      <c r="K21" s="4"/>
    </row>
    <row r="22" spans="2:11" ht="15.75" thickBot="1">
      <c r="B22" s="838"/>
      <c r="C22" s="1090"/>
      <c r="D22" s="1092"/>
      <c r="E22" s="1094"/>
      <c r="F22" s="1094"/>
      <c r="G22" s="1094"/>
      <c r="I22" s="17"/>
      <c r="J22" s="4"/>
      <c r="K22" s="4"/>
    </row>
    <row r="23" spans="2:11" s="146" customFormat="1" ht="84.75" thickBot="1">
      <c r="B23" s="884"/>
      <c r="C23" s="173">
        <v>1</v>
      </c>
      <c r="D23" s="24" t="s">
        <v>1785</v>
      </c>
      <c r="E23" s="5">
        <v>23</v>
      </c>
      <c r="F23" s="24" t="s">
        <v>1786</v>
      </c>
      <c r="G23" s="24"/>
      <c r="I23" s="15"/>
      <c r="J23" s="14"/>
      <c r="K23" s="14"/>
    </row>
    <row r="24" spans="2:11" s="146" customFormat="1" ht="84.75" thickBot="1">
      <c r="B24" s="884"/>
      <c r="C24" s="173">
        <v>2</v>
      </c>
      <c r="D24" s="24" t="s">
        <v>1787</v>
      </c>
      <c r="E24" s="5">
        <v>23</v>
      </c>
      <c r="F24" s="24" t="s">
        <v>1786</v>
      </c>
      <c r="G24" s="24"/>
      <c r="I24" s="15"/>
      <c r="J24" s="14"/>
      <c r="K24" s="14"/>
    </row>
    <row r="25" spans="2:11" s="146" customFormat="1" ht="15.75" thickBot="1">
      <c r="B25" s="884"/>
      <c r="C25" s="173">
        <v>3</v>
      </c>
      <c r="D25" s="25"/>
      <c r="E25" s="5"/>
      <c r="F25" s="24"/>
      <c r="G25" s="24"/>
      <c r="H25" s="218"/>
      <c r="I25" s="15"/>
      <c r="J25" s="14"/>
      <c r="K25" s="14"/>
    </row>
    <row r="26" spans="2:11" s="146" customFormat="1" ht="15.75" thickBot="1">
      <c r="B26" s="884"/>
      <c r="C26" s="173">
        <v>4</v>
      </c>
      <c r="D26" s="25"/>
      <c r="E26" s="5"/>
      <c r="F26" s="24"/>
      <c r="G26" s="24"/>
      <c r="H26" s="218"/>
      <c r="I26" s="15"/>
      <c r="J26" s="14"/>
      <c r="K26" s="14"/>
    </row>
    <row r="27" spans="2:11" s="146" customFormat="1" ht="15.75" thickBot="1">
      <c r="B27" s="884"/>
      <c r="C27" s="173">
        <v>5</v>
      </c>
      <c r="D27" s="25"/>
      <c r="E27" s="5"/>
      <c r="F27" s="24"/>
      <c r="G27" s="24"/>
      <c r="H27" s="218"/>
      <c r="I27" s="15"/>
      <c r="J27" s="14"/>
      <c r="K27" s="14"/>
    </row>
    <row r="28" spans="2:11" s="146" customFormat="1" ht="15.75" thickBot="1">
      <c r="B28" s="884"/>
      <c r="C28" s="173">
        <v>6</v>
      </c>
      <c r="D28" s="25"/>
      <c r="E28" s="5"/>
      <c r="F28" s="24"/>
      <c r="G28" s="24"/>
      <c r="H28" s="218"/>
      <c r="I28" s="15"/>
      <c r="J28" s="14"/>
      <c r="K28" s="14"/>
    </row>
    <row r="29" spans="2:11" s="146" customFormat="1" ht="15.75" thickBot="1">
      <c r="B29" s="884"/>
      <c r="C29" s="173">
        <v>7</v>
      </c>
      <c r="D29" s="25"/>
      <c r="E29" s="5"/>
      <c r="F29" s="24"/>
      <c r="G29" s="24"/>
      <c r="H29" s="218"/>
      <c r="I29" s="15"/>
      <c r="J29" s="14"/>
      <c r="K29" s="14"/>
    </row>
    <row r="30" spans="2:11" s="146" customFormat="1" ht="15.75" thickBot="1">
      <c r="B30" s="884"/>
      <c r="C30" s="173">
        <v>8</v>
      </c>
      <c r="D30" s="25"/>
      <c r="E30" s="5"/>
      <c r="F30" s="24"/>
      <c r="G30" s="24"/>
      <c r="H30" s="218"/>
      <c r="I30" s="15"/>
      <c r="J30" s="14"/>
      <c r="K30" s="14"/>
    </row>
    <row r="31" spans="2:11" s="146" customFormat="1" ht="15.75" thickBot="1">
      <c r="B31" s="884"/>
      <c r="C31" s="173">
        <v>9</v>
      </c>
      <c r="D31" s="25"/>
      <c r="E31" s="5"/>
      <c r="F31" s="24"/>
      <c r="G31" s="24"/>
      <c r="H31" s="218"/>
      <c r="I31" s="15"/>
      <c r="J31" s="14"/>
      <c r="K31" s="14"/>
    </row>
    <row r="32" spans="2:11" s="146" customFormat="1" ht="15.75" thickBot="1">
      <c r="B32" s="884"/>
      <c r="C32" s="173">
        <v>10</v>
      </c>
      <c r="D32" s="25"/>
      <c r="E32" s="5"/>
      <c r="F32" s="24"/>
      <c r="G32" s="24"/>
      <c r="H32" s="218"/>
      <c r="I32" s="15"/>
      <c r="J32" s="14"/>
      <c r="K32" s="14"/>
    </row>
    <row r="33" spans="2:11" s="146" customFormat="1" ht="15.75" thickBot="1">
      <c r="B33" s="884"/>
      <c r="C33" s="173">
        <v>11</v>
      </c>
      <c r="D33" s="25"/>
      <c r="E33" s="5"/>
      <c r="F33" s="24"/>
      <c r="G33" s="24"/>
      <c r="H33" s="218"/>
      <c r="I33" s="15"/>
      <c r="J33" s="14"/>
      <c r="K33" s="14"/>
    </row>
    <row r="34" spans="2:11" s="146" customFormat="1" ht="15.75" thickBot="1">
      <c r="B34" s="884"/>
      <c r="C34" s="173">
        <v>12</v>
      </c>
      <c r="D34" s="25"/>
      <c r="E34" s="5"/>
      <c r="F34" s="24"/>
      <c r="G34" s="24"/>
      <c r="H34" s="218"/>
      <c r="I34" s="15"/>
      <c r="J34" s="14"/>
      <c r="K34" s="14"/>
    </row>
    <row r="35" spans="2:11" s="146" customFormat="1" ht="15.75" thickBot="1">
      <c r="B35" s="884"/>
      <c r="C35" s="173">
        <v>13</v>
      </c>
      <c r="D35" s="25"/>
      <c r="E35" s="5"/>
      <c r="F35" s="24"/>
      <c r="G35" s="24"/>
      <c r="H35" s="218"/>
      <c r="I35" s="15"/>
      <c r="J35" s="14"/>
      <c r="K35" s="14"/>
    </row>
    <row r="36" spans="2:11" s="146" customFormat="1" ht="15.75" thickBot="1">
      <c r="B36" s="884"/>
      <c r="C36" s="173">
        <v>14</v>
      </c>
      <c r="D36" s="25"/>
      <c r="E36" s="5"/>
      <c r="F36" s="24"/>
      <c r="G36" s="24"/>
      <c r="H36" s="218"/>
      <c r="I36" s="15"/>
      <c r="J36" s="14"/>
      <c r="K36" s="14"/>
    </row>
    <row r="37" spans="2:11" s="146" customFormat="1" ht="15.75" thickBot="1">
      <c r="B37" s="884"/>
      <c r="C37" s="173">
        <v>15</v>
      </c>
      <c r="D37" s="25"/>
      <c r="E37" s="5"/>
      <c r="F37" s="24"/>
      <c r="G37" s="24"/>
      <c r="H37" s="218"/>
      <c r="I37" s="15"/>
      <c r="J37" s="14"/>
      <c r="K37" s="14"/>
    </row>
    <row r="38" spans="2:11" s="146" customFormat="1" ht="15.75" thickBot="1">
      <c r="B38" s="884"/>
      <c r="C38" s="173">
        <v>16</v>
      </c>
      <c r="D38" s="25"/>
      <c r="E38" s="5"/>
      <c r="F38" s="24"/>
      <c r="G38" s="24"/>
      <c r="H38" s="218"/>
      <c r="I38" s="15"/>
      <c r="J38" s="14"/>
      <c r="K38" s="14"/>
    </row>
    <row r="39" spans="2:11" s="146" customFormat="1" ht="15.75" thickBot="1">
      <c r="B39" s="884"/>
      <c r="C39" s="173">
        <v>17</v>
      </c>
      <c r="D39" s="25"/>
      <c r="E39" s="5"/>
      <c r="F39" s="24"/>
      <c r="G39" s="24"/>
      <c r="H39" s="218"/>
      <c r="I39" s="15"/>
      <c r="J39" s="14"/>
      <c r="K39" s="14"/>
    </row>
    <row r="40" spans="2:11" s="146" customFormat="1" ht="15.75" thickBot="1">
      <c r="B40" s="884"/>
      <c r="C40" s="173">
        <v>18</v>
      </c>
      <c r="D40" s="25"/>
      <c r="E40" s="5"/>
      <c r="F40" s="24"/>
      <c r="G40" s="24"/>
      <c r="H40" s="218"/>
      <c r="I40" s="15"/>
      <c r="J40" s="14"/>
      <c r="K40" s="14"/>
    </row>
    <row r="41" spans="2:11" s="146" customFormat="1" ht="15.75" thickBot="1">
      <c r="B41" s="884"/>
      <c r="C41" s="173">
        <v>19</v>
      </c>
      <c r="D41" s="25"/>
      <c r="E41" s="5"/>
      <c r="F41" s="24"/>
      <c r="G41" s="24"/>
      <c r="I41" s="15"/>
      <c r="J41" s="14"/>
      <c r="K41" s="14"/>
    </row>
    <row r="42" spans="2:11" s="146" customFormat="1" ht="15.75" thickBot="1">
      <c r="B42" s="885"/>
      <c r="C42" s="173">
        <v>20</v>
      </c>
      <c r="D42" s="25"/>
      <c r="E42" s="5"/>
      <c r="F42" s="24"/>
      <c r="G42" s="24"/>
      <c r="I42" s="149"/>
      <c r="J42" s="14"/>
      <c r="K42" s="14"/>
    </row>
    <row r="43" spans="2:11" ht="36" customHeight="1" thickBot="1">
      <c r="B43" s="839" t="s">
        <v>1504</v>
      </c>
      <c r="C43" s="69"/>
      <c r="D43" s="1041" t="s">
        <v>1788</v>
      </c>
      <c r="E43" s="1042"/>
      <c r="F43" s="1042"/>
      <c r="G43" s="1042"/>
      <c r="H43" s="1042"/>
      <c r="I43" s="1043"/>
      <c r="J43" s="4"/>
      <c r="K43" s="4"/>
    </row>
    <row r="44" spans="2:11" ht="24.75" thickBot="1">
      <c r="B44" s="839" t="s">
        <v>1506</v>
      </c>
      <c r="C44" s="69"/>
      <c r="D44" s="1041" t="s">
        <v>1746</v>
      </c>
      <c r="E44" s="1042"/>
      <c r="F44" s="1042"/>
      <c r="G44" s="1042"/>
      <c r="H44" s="1042"/>
      <c r="I44" s="1043"/>
      <c r="J44" s="4"/>
      <c r="K44" s="4"/>
    </row>
    <row r="45" spans="2:11" ht="15.75" thickBot="1">
      <c r="B45" s="1"/>
      <c r="C45" s="55"/>
      <c r="D45" s="4"/>
      <c r="E45" s="4"/>
      <c r="F45" s="4"/>
      <c r="G45" s="4"/>
      <c r="H45" s="4"/>
      <c r="I45" s="4"/>
      <c r="J45" s="4"/>
      <c r="K45" s="4"/>
    </row>
    <row r="46" spans="2:11" ht="24" customHeight="1" thickBot="1">
      <c r="B46" s="1029" t="s">
        <v>1508</v>
      </c>
      <c r="C46" s="1030"/>
      <c r="D46" s="1030"/>
      <c r="E46" s="1031"/>
      <c r="F46" s="4"/>
      <c r="G46" s="4"/>
      <c r="H46" s="4"/>
      <c r="I46" s="4"/>
      <c r="J46" s="4"/>
      <c r="K46" s="4"/>
    </row>
    <row r="47" spans="2:11" ht="15.75" thickBot="1">
      <c r="B47" s="1032">
        <v>1</v>
      </c>
      <c r="C47" s="890"/>
      <c r="D47" s="37" t="s">
        <v>1509</v>
      </c>
      <c r="E47" s="25" t="s">
        <v>1510</v>
      </c>
      <c r="F47" s="4"/>
      <c r="G47" s="4"/>
      <c r="H47" s="4"/>
      <c r="I47" s="4"/>
      <c r="J47" s="4"/>
      <c r="K47" s="4"/>
    </row>
    <row r="48" spans="2:11" ht="24.75" thickBot="1">
      <c r="B48" s="1033"/>
      <c r="C48" s="890"/>
      <c r="D48" s="845" t="s">
        <v>10</v>
      </c>
      <c r="E48" s="24" t="s">
        <v>1511</v>
      </c>
      <c r="F48" s="4"/>
      <c r="G48" s="4"/>
      <c r="H48" s="4"/>
      <c r="I48" s="4"/>
      <c r="J48" s="4"/>
      <c r="K48" s="4"/>
    </row>
    <row r="49" spans="2:11" ht="15.75" thickBot="1">
      <c r="B49" s="1033"/>
      <c r="C49" s="890"/>
      <c r="D49" s="845" t="s">
        <v>1512</v>
      </c>
      <c r="E49" s="25" t="s">
        <v>1615</v>
      </c>
      <c r="F49" s="4"/>
      <c r="G49" s="4"/>
      <c r="H49" s="4"/>
      <c r="I49" s="4"/>
      <c r="J49" s="4"/>
      <c r="K49" s="4"/>
    </row>
    <row r="50" spans="2:11" ht="15.75" thickBot="1">
      <c r="B50" s="1033"/>
      <c r="C50" s="890"/>
      <c r="D50" s="845" t="s">
        <v>13</v>
      </c>
      <c r="E50" s="25" t="s">
        <v>1514</v>
      </c>
      <c r="F50" s="4"/>
      <c r="G50" s="4"/>
      <c r="H50" s="4"/>
      <c r="I50" s="4"/>
      <c r="J50" s="4"/>
      <c r="K50" s="4"/>
    </row>
    <row r="51" spans="2:11" ht="45.75" thickBot="1">
      <c r="B51" s="1033"/>
      <c r="C51" s="890"/>
      <c r="D51" s="845" t="s">
        <v>16</v>
      </c>
      <c r="E51" s="704" t="s">
        <v>1515</v>
      </c>
      <c r="F51" s="4"/>
      <c r="G51" s="4"/>
      <c r="H51" s="4"/>
      <c r="I51" s="4"/>
      <c r="J51" s="4"/>
      <c r="K51" s="4"/>
    </row>
    <row r="52" spans="2:11" ht="15.75" thickBot="1">
      <c r="B52" s="1033"/>
      <c r="C52" s="890"/>
      <c r="D52" s="845" t="s">
        <v>19</v>
      </c>
      <c r="E52" s="121">
        <v>3686626</v>
      </c>
      <c r="F52" s="4"/>
      <c r="G52" s="4"/>
      <c r="H52" s="4"/>
      <c r="I52" s="4"/>
      <c r="J52" s="4"/>
      <c r="K52" s="4"/>
    </row>
    <row r="53" spans="2:11" ht="24.75" thickBot="1">
      <c r="B53" s="1034"/>
      <c r="C53" s="857"/>
      <c r="D53" s="845" t="s">
        <v>1516</v>
      </c>
      <c r="E53" s="24" t="s">
        <v>1517</v>
      </c>
      <c r="F53" s="4"/>
      <c r="G53" s="4"/>
      <c r="H53" s="4"/>
      <c r="I53" s="4"/>
      <c r="J53" s="4"/>
      <c r="K53" s="4"/>
    </row>
    <row r="54" spans="2:11" ht="15.75" thickBot="1">
      <c r="B54" s="1"/>
      <c r="C54" s="55"/>
      <c r="D54" s="4"/>
      <c r="E54" s="4"/>
      <c r="F54" s="4"/>
      <c r="G54" s="4"/>
      <c r="H54" s="4"/>
      <c r="I54" s="4"/>
      <c r="J54" s="4"/>
      <c r="K54" s="4"/>
    </row>
    <row r="55" spans="2:11" ht="15.75" thickBot="1">
      <c r="B55" s="1029" t="s">
        <v>1518</v>
      </c>
      <c r="C55" s="1030"/>
      <c r="D55" s="1030"/>
      <c r="E55" s="1031"/>
      <c r="F55" s="4"/>
      <c r="G55" s="4"/>
      <c r="H55" s="4"/>
      <c r="I55" s="4"/>
      <c r="J55" s="4"/>
      <c r="K55" s="4"/>
    </row>
    <row r="56" spans="2:11" ht="15.75" thickBot="1">
      <c r="B56" s="1032">
        <v>1</v>
      </c>
      <c r="C56" s="890"/>
      <c r="D56" s="37" t="s">
        <v>1509</v>
      </c>
      <c r="E56" s="299" t="s">
        <v>1519</v>
      </c>
      <c r="F56" s="4"/>
      <c r="G56" s="4"/>
      <c r="H56" s="4"/>
      <c r="I56" s="4"/>
      <c r="J56" s="4"/>
      <c r="K56" s="4"/>
    </row>
    <row r="57" spans="2:11" ht="15.75" thickBot="1">
      <c r="B57" s="1033"/>
      <c r="C57" s="890"/>
      <c r="D57" s="845" t="s">
        <v>10</v>
      </c>
      <c r="E57" s="299" t="s">
        <v>1520</v>
      </c>
      <c r="F57" s="4"/>
      <c r="G57" s="4"/>
      <c r="H57" s="4"/>
      <c r="I57" s="4"/>
      <c r="J57" s="4"/>
      <c r="K57" s="4"/>
    </row>
    <row r="58" spans="2:11" ht="15.75" thickBot="1">
      <c r="B58" s="1033"/>
      <c r="C58" s="890"/>
      <c r="D58" s="845" t="s">
        <v>1512</v>
      </c>
      <c r="E58" s="211"/>
      <c r="F58" s="4"/>
      <c r="G58" s="4"/>
      <c r="H58" s="4"/>
      <c r="I58" s="4"/>
      <c r="J58" s="4"/>
      <c r="K58" s="4"/>
    </row>
    <row r="59" spans="2:11" ht="15.75" thickBot="1">
      <c r="B59" s="1033"/>
      <c r="C59" s="890"/>
      <c r="D59" s="845" t="s">
        <v>13</v>
      </c>
      <c r="E59" s="211"/>
      <c r="F59" s="4"/>
      <c r="G59" s="4"/>
      <c r="H59" s="4"/>
      <c r="I59" s="4"/>
      <c r="J59" s="4"/>
      <c r="K59" s="4"/>
    </row>
    <row r="60" spans="2:11" ht="15.75" thickBot="1">
      <c r="B60" s="1033"/>
      <c r="C60" s="890"/>
      <c r="D60" s="845" t="s">
        <v>16</v>
      </c>
      <c r="E60" s="211"/>
      <c r="F60" s="4"/>
      <c r="G60" s="4"/>
      <c r="H60" s="4"/>
      <c r="I60" s="4"/>
      <c r="J60" s="4"/>
      <c r="K60" s="4"/>
    </row>
    <row r="61" spans="2:11" ht="15.75" thickBot="1">
      <c r="B61" s="1033"/>
      <c r="C61" s="890"/>
      <c r="D61" s="845" t="s">
        <v>19</v>
      </c>
      <c r="E61" s="211"/>
      <c r="F61" s="4"/>
      <c r="G61" s="4"/>
      <c r="H61" s="4"/>
      <c r="I61" s="4"/>
      <c r="J61" s="4"/>
      <c r="K61" s="4"/>
    </row>
    <row r="62" spans="2:11" ht="15.75" thickBot="1">
      <c r="B62" s="1034"/>
      <c r="C62" s="857"/>
      <c r="D62" s="845" t="s">
        <v>1516</v>
      </c>
      <c r="E62" s="211"/>
      <c r="F62" s="4"/>
      <c r="G62" s="4"/>
      <c r="H62" s="4"/>
      <c r="I62" s="4"/>
      <c r="J62" s="4"/>
      <c r="K62" s="4"/>
    </row>
    <row r="63" spans="2:11" ht="15.75" thickBot="1">
      <c r="B63" s="1"/>
      <c r="C63" s="55"/>
      <c r="D63" s="4"/>
      <c r="E63" s="4"/>
      <c r="F63" s="4"/>
      <c r="G63" s="4"/>
      <c r="H63" s="4"/>
      <c r="I63" s="4"/>
      <c r="J63" s="4"/>
      <c r="K63" s="4"/>
    </row>
    <row r="64" spans="2:11" ht="15" customHeight="1" thickBot="1">
      <c r="B64" s="88" t="s">
        <v>1521</v>
      </c>
      <c r="C64" s="89"/>
      <c r="D64" s="89"/>
      <c r="E64" s="90"/>
      <c r="G64" s="4"/>
      <c r="H64" s="4"/>
      <c r="I64" s="4"/>
      <c r="J64" s="4"/>
      <c r="K64" s="4"/>
    </row>
    <row r="65" spans="2:11" ht="24.75" thickBot="1">
      <c r="B65" s="839" t="s">
        <v>1522</v>
      </c>
      <c r="C65" s="845" t="s">
        <v>1523</v>
      </c>
      <c r="D65" s="845" t="s">
        <v>1524</v>
      </c>
      <c r="E65" s="845" t="s">
        <v>1525</v>
      </c>
      <c r="F65" s="4"/>
      <c r="G65" s="4"/>
      <c r="H65" s="4"/>
      <c r="I65" s="4"/>
      <c r="J65" s="4"/>
    </row>
    <row r="66" spans="2:11" ht="96.75" thickBot="1">
      <c r="B66" s="38">
        <v>42401</v>
      </c>
      <c r="C66" s="845">
        <v>0.01</v>
      </c>
      <c r="D66" s="830" t="s">
        <v>1789</v>
      </c>
      <c r="E66" s="845"/>
      <c r="F66" s="4"/>
      <c r="G66" s="4"/>
      <c r="H66" s="4"/>
      <c r="I66" s="4"/>
      <c r="J66" s="4"/>
    </row>
    <row r="67" spans="2:11" ht="15.75" thickBot="1">
      <c r="B67" s="2"/>
      <c r="C67" s="70"/>
      <c r="D67" s="4"/>
      <c r="E67" s="4"/>
      <c r="F67" s="4"/>
      <c r="G67" s="4"/>
      <c r="H67" s="4"/>
      <c r="I67" s="4"/>
      <c r="J67" s="4"/>
      <c r="K67" s="4"/>
    </row>
    <row r="68" spans="2:11">
      <c r="B68" s="879" t="s">
        <v>1406</v>
      </c>
      <c r="C68" s="705"/>
      <c r="D68" s="4"/>
      <c r="E68" s="4"/>
      <c r="F68" s="4"/>
      <c r="G68" s="4"/>
      <c r="H68" s="4"/>
      <c r="I68" s="4"/>
      <c r="J68" s="4"/>
      <c r="K68" s="4"/>
    </row>
    <row r="69" spans="2:11">
      <c r="B69" s="1065"/>
      <c r="C69" s="1066"/>
      <c r="D69" s="1066"/>
      <c r="E69" s="1067"/>
      <c r="F69" s="4"/>
      <c r="G69" s="4"/>
      <c r="H69" s="4"/>
      <c r="I69" s="4"/>
      <c r="J69" s="4"/>
      <c r="K69" s="4"/>
    </row>
    <row r="70" spans="2:11" ht="15.75" thickBot="1">
      <c r="B70" s="4"/>
      <c r="D70" s="4"/>
      <c r="E70" s="4"/>
      <c r="F70" s="4"/>
      <c r="G70" s="4"/>
      <c r="H70" s="4"/>
      <c r="I70" s="4"/>
      <c r="J70" s="4"/>
      <c r="K70" s="4"/>
    </row>
    <row r="71" spans="2:11" ht="15.75" thickBot="1">
      <c r="B71" s="1029" t="s">
        <v>1527</v>
      </c>
      <c r="C71" s="1030"/>
      <c r="D71" s="1031"/>
      <c r="E71" s="4"/>
      <c r="F71" s="4"/>
      <c r="G71" s="4"/>
      <c r="H71" s="4"/>
      <c r="I71" s="4"/>
      <c r="J71" s="4"/>
      <c r="K71" s="4"/>
    </row>
    <row r="72" spans="2:11" ht="120.75" thickBot="1">
      <c r="B72" s="839" t="s">
        <v>1528</v>
      </c>
      <c r="C72" s="857"/>
      <c r="D72" s="845" t="s">
        <v>1790</v>
      </c>
      <c r="E72" s="4"/>
      <c r="F72" s="4"/>
      <c r="G72" s="4"/>
      <c r="H72" s="4"/>
      <c r="I72" s="4"/>
      <c r="J72" s="4"/>
      <c r="K72" s="4"/>
    </row>
    <row r="73" spans="2:11">
      <c r="B73" s="1032" t="s">
        <v>1530</v>
      </c>
      <c r="C73" s="890"/>
      <c r="D73" s="836" t="s">
        <v>1531</v>
      </c>
      <c r="E73" s="4"/>
      <c r="F73" s="4"/>
      <c r="G73" s="4"/>
      <c r="H73" s="4"/>
      <c r="I73" s="4"/>
      <c r="J73" s="4"/>
      <c r="K73" s="4"/>
    </row>
    <row r="74" spans="2:11" ht="96">
      <c r="B74" s="1033"/>
      <c r="C74" s="890"/>
      <c r="D74" s="829" t="s">
        <v>1791</v>
      </c>
      <c r="E74" s="4"/>
      <c r="F74" s="4"/>
      <c r="G74" s="4"/>
      <c r="H74" s="4"/>
      <c r="I74" s="4"/>
      <c r="J74" s="4"/>
      <c r="K74" s="4"/>
    </row>
    <row r="75" spans="2:11" ht="60">
      <c r="B75" s="1033"/>
      <c r="C75" s="890"/>
      <c r="D75" s="829" t="s">
        <v>1792</v>
      </c>
      <c r="E75" s="4"/>
      <c r="F75" s="4"/>
      <c r="G75" s="4"/>
      <c r="H75" s="4"/>
      <c r="I75" s="4"/>
      <c r="J75" s="4"/>
      <c r="K75" s="4"/>
    </row>
    <row r="76" spans="2:11">
      <c r="B76" s="1033"/>
      <c r="C76" s="890"/>
      <c r="D76" s="836" t="s">
        <v>1534</v>
      </c>
      <c r="E76" s="4"/>
      <c r="F76" s="4"/>
      <c r="G76" s="4"/>
      <c r="H76" s="4"/>
      <c r="I76" s="4"/>
      <c r="J76" s="4"/>
      <c r="K76" s="4"/>
    </row>
    <row r="77" spans="2:11" ht="24">
      <c r="B77" s="1033"/>
      <c r="C77" s="890"/>
      <c r="D77" s="829" t="s">
        <v>1793</v>
      </c>
      <c r="E77" s="4"/>
      <c r="F77" s="4"/>
      <c r="G77" s="4"/>
      <c r="H77" s="4"/>
      <c r="I77" s="4"/>
      <c r="J77" s="4"/>
      <c r="K77" s="4"/>
    </row>
    <row r="78" spans="2:11" ht="48">
      <c r="B78" s="1033"/>
      <c r="C78" s="890"/>
      <c r="D78" s="829" t="s">
        <v>1794</v>
      </c>
      <c r="E78" s="4"/>
      <c r="F78" s="4"/>
      <c r="G78" s="4"/>
      <c r="H78" s="4"/>
      <c r="I78" s="4"/>
      <c r="J78" s="4"/>
      <c r="K78" s="4"/>
    </row>
    <row r="79" spans="2:11">
      <c r="B79" s="1033"/>
      <c r="C79" s="890"/>
      <c r="D79" s="829" t="s">
        <v>1795</v>
      </c>
      <c r="E79" s="4"/>
      <c r="F79" s="4"/>
      <c r="G79" s="4"/>
      <c r="H79" s="4"/>
      <c r="I79" s="4"/>
      <c r="J79" s="4"/>
      <c r="K79" s="4"/>
    </row>
    <row r="80" spans="2:11" ht="36">
      <c r="B80" s="1033"/>
      <c r="C80" s="890"/>
      <c r="D80" s="829" t="s">
        <v>1796</v>
      </c>
      <c r="E80" s="4"/>
      <c r="F80" s="4"/>
      <c r="G80" s="4"/>
      <c r="H80" s="4"/>
      <c r="I80" s="4"/>
      <c r="J80" s="4"/>
      <c r="K80" s="4"/>
    </row>
    <row r="81" spans="2:11">
      <c r="B81" s="1033"/>
      <c r="C81" s="890"/>
      <c r="D81" s="836" t="s">
        <v>1797</v>
      </c>
      <c r="E81" s="4"/>
      <c r="F81" s="4"/>
      <c r="G81" s="4"/>
      <c r="H81" s="4"/>
      <c r="I81" s="4"/>
      <c r="J81" s="4"/>
      <c r="K81" s="4"/>
    </row>
    <row r="82" spans="2:11">
      <c r="B82" s="1033"/>
      <c r="C82" s="890"/>
      <c r="D82" s="829" t="s">
        <v>1798</v>
      </c>
      <c r="E82" s="4"/>
      <c r="F82" s="4"/>
      <c r="G82" s="4"/>
      <c r="H82" s="4"/>
      <c r="I82" s="4"/>
      <c r="J82" s="4"/>
      <c r="K82" s="4"/>
    </row>
    <row r="83" spans="2:11" ht="36">
      <c r="B83" s="1033"/>
      <c r="C83" s="890"/>
      <c r="D83" s="829" t="s">
        <v>1799</v>
      </c>
      <c r="E83" s="4"/>
      <c r="F83" s="4"/>
      <c r="G83" s="4"/>
      <c r="H83" s="4"/>
      <c r="I83" s="4"/>
      <c r="J83" s="4"/>
      <c r="K83" s="4"/>
    </row>
    <row r="84" spans="2:11" ht="45.75" thickBot="1">
      <c r="B84" s="1034"/>
      <c r="C84" s="857"/>
      <c r="D84" s="217" t="s">
        <v>1800</v>
      </c>
      <c r="E84" s="4"/>
      <c r="F84" s="4"/>
      <c r="G84" s="4"/>
      <c r="H84" s="4"/>
      <c r="I84" s="4"/>
      <c r="J84" s="4"/>
      <c r="K84" s="4"/>
    </row>
    <row r="85" spans="2:11" ht="24.75" thickBot="1">
      <c r="B85" s="839" t="s">
        <v>1543</v>
      </c>
      <c r="C85" s="857"/>
      <c r="D85" s="845"/>
      <c r="E85" s="4"/>
      <c r="F85" s="4"/>
      <c r="G85" s="4"/>
      <c r="H85" s="4"/>
      <c r="I85" s="4"/>
      <c r="J85" s="4"/>
      <c r="K85" s="4"/>
    </row>
    <row r="86" spans="2:11" ht="228">
      <c r="B86" s="1032" t="s">
        <v>1544</v>
      </c>
      <c r="C86" s="890"/>
      <c r="D86" s="829" t="s">
        <v>1801</v>
      </c>
      <c r="E86" s="4"/>
      <c r="F86" s="4"/>
      <c r="G86" s="4"/>
      <c r="H86" s="4"/>
      <c r="I86" s="4"/>
      <c r="J86" s="4"/>
      <c r="K86" s="4"/>
    </row>
    <row r="87" spans="2:11" ht="180">
      <c r="B87" s="1033"/>
      <c r="C87" s="890"/>
      <c r="D87" s="829" t="s">
        <v>1802</v>
      </c>
      <c r="E87" s="4"/>
      <c r="F87" s="4"/>
      <c r="G87" s="4"/>
      <c r="H87" s="4"/>
      <c r="I87" s="4"/>
      <c r="J87" s="4"/>
      <c r="K87" s="4"/>
    </row>
    <row r="88" spans="2:11" ht="72">
      <c r="B88" s="1033"/>
      <c r="C88" s="890"/>
      <c r="D88" s="829" t="s">
        <v>1803</v>
      </c>
      <c r="E88" s="4"/>
      <c r="F88" s="4"/>
      <c r="G88" s="4"/>
      <c r="H88" s="4"/>
      <c r="I88" s="4"/>
      <c r="J88" s="4"/>
      <c r="K88" s="4"/>
    </row>
    <row r="89" spans="2:11" ht="24">
      <c r="B89" s="1033"/>
      <c r="C89" s="890"/>
      <c r="D89" s="829" t="s">
        <v>1804</v>
      </c>
      <c r="E89" s="4"/>
      <c r="F89" s="4"/>
      <c r="G89" s="4"/>
      <c r="H89" s="4"/>
      <c r="I89" s="4"/>
      <c r="J89" s="4"/>
      <c r="K89" s="4"/>
    </row>
    <row r="90" spans="2:11" ht="72">
      <c r="B90" s="1033"/>
      <c r="C90" s="890"/>
      <c r="D90" s="47" t="s">
        <v>1805</v>
      </c>
      <c r="E90" s="4"/>
      <c r="F90" s="4"/>
      <c r="G90" s="4"/>
      <c r="H90" s="4"/>
      <c r="I90" s="4"/>
      <c r="J90" s="4"/>
      <c r="K90" s="4"/>
    </row>
    <row r="91" spans="2:11" ht="84">
      <c r="B91" s="1033"/>
      <c r="C91" s="890"/>
      <c r="D91" s="47" t="s">
        <v>1806</v>
      </c>
      <c r="E91" s="4"/>
      <c r="F91" s="4"/>
      <c r="G91" s="4"/>
      <c r="H91" s="4"/>
      <c r="I91" s="4"/>
      <c r="J91" s="4"/>
      <c r="K91" s="4"/>
    </row>
    <row r="92" spans="2:11" ht="36">
      <c r="B92" s="1033"/>
      <c r="C92" s="890"/>
      <c r="D92" s="47" t="s">
        <v>1807</v>
      </c>
      <c r="E92" s="4"/>
      <c r="F92" s="4"/>
      <c r="G92" s="4"/>
      <c r="H92" s="4"/>
      <c r="I92" s="4"/>
      <c r="J92" s="4"/>
      <c r="K92" s="4"/>
    </row>
    <row r="93" spans="2:11" ht="36">
      <c r="B93" s="1033"/>
      <c r="C93" s="890"/>
      <c r="D93" s="47" t="s">
        <v>1808</v>
      </c>
      <c r="E93" s="4"/>
      <c r="F93" s="4"/>
      <c r="G93" s="4"/>
      <c r="H93" s="4"/>
      <c r="I93" s="4"/>
      <c r="J93" s="4"/>
      <c r="K93" s="4"/>
    </row>
    <row r="94" spans="2:11" ht="48">
      <c r="B94" s="1033"/>
      <c r="C94" s="890"/>
      <c r="D94" s="47" t="s">
        <v>1809</v>
      </c>
      <c r="E94" s="4"/>
      <c r="F94" s="4"/>
      <c r="G94" s="4"/>
      <c r="H94" s="4"/>
      <c r="I94" s="4"/>
      <c r="J94" s="4"/>
      <c r="K94" s="4"/>
    </row>
    <row r="95" spans="2:11" ht="60.75" thickBot="1">
      <c r="B95" s="1034"/>
      <c r="C95" s="857"/>
      <c r="D95" s="48" t="s">
        <v>1810</v>
      </c>
      <c r="E95" s="4"/>
      <c r="F95" s="4"/>
      <c r="G95" s="4"/>
      <c r="H95" s="4"/>
      <c r="I95" s="4"/>
      <c r="J95" s="4"/>
      <c r="K95" s="4"/>
    </row>
    <row r="96" spans="2:11">
      <c r="B96" s="1032" t="s">
        <v>1561</v>
      </c>
      <c r="C96" s="890"/>
      <c r="D96" s="829"/>
      <c r="E96" s="4"/>
      <c r="F96" s="4"/>
      <c r="G96" s="4"/>
      <c r="H96" s="4"/>
      <c r="I96" s="4"/>
      <c r="J96" s="4"/>
      <c r="K96" s="4"/>
    </row>
    <row r="97" spans="2:11">
      <c r="B97" s="1033"/>
      <c r="C97" s="890"/>
      <c r="D97" s="826"/>
      <c r="E97" s="4"/>
      <c r="F97" s="4"/>
      <c r="G97" s="4"/>
      <c r="H97" s="4"/>
      <c r="I97" s="4"/>
      <c r="J97" s="4"/>
      <c r="K97" s="4"/>
    </row>
    <row r="98" spans="2:11">
      <c r="B98" s="1033"/>
      <c r="C98" s="890"/>
      <c r="D98" s="829" t="s">
        <v>1562</v>
      </c>
      <c r="E98" s="4"/>
      <c r="F98" s="4"/>
      <c r="G98" s="4"/>
      <c r="H98" s="4"/>
      <c r="I98" s="4"/>
      <c r="J98" s="4"/>
      <c r="K98" s="4"/>
    </row>
    <row r="99" spans="2:11" ht="61.5">
      <c r="B99" s="1033"/>
      <c r="C99" s="890"/>
      <c r="D99" s="829" t="s">
        <v>1811</v>
      </c>
      <c r="E99" s="4"/>
      <c r="F99" s="4"/>
      <c r="G99" s="4"/>
      <c r="H99" s="4"/>
      <c r="I99" s="4"/>
      <c r="J99" s="4"/>
      <c r="K99" s="4"/>
    </row>
    <row r="100" spans="2:11" ht="61.5">
      <c r="B100" s="1033"/>
      <c r="C100" s="890"/>
      <c r="D100" s="829" t="s">
        <v>1812</v>
      </c>
      <c r="E100" s="4"/>
      <c r="F100" s="4"/>
      <c r="G100" s="4"/>
      <c r="H100" s="4"/>
      <c r="I100" s="4"/>
      <c r="J100" s="4"/>
      <c r="K100" s="4"/>
    </row>
    <row r="101" spans="2:11" ht="62.25" thickBot="1">
      <c r="B101" s="1034"/>
      <c r="C101" s="857"/>
      <c r="D101" s="845" t="s">
        <v>1813</v>
      </c>
      <c r="E101" s="4"/>
      <c r="F101" s="4"/>
      <c r="G101" s="4"/>
      <c r="H101" s="4"/>
      <c r="I101" s="4"/>
      <c r="J101" s="4"/>
      <c r="K101" s="4"/>
    </row>
  </sheetData>
  <mergeCells count="29">
    <mergeCell ref="A1:P1"/>
    <mergeCell ref="A2:P2"/>
    <mergeCell ref="A3:P3"/>
    <mergeCell ref="A4:D4"/>
    <mergeCell ref="A5:P5"/>
    <mergeCell ref="D15:I15"/>
    <mergeCell ref="D20:I20"/>
    <mergeCell ref="D43:I43"/>
    <mergeCell ref="E21:E22"/>
    <mergeCell ref="B15:B20"/>
    <mergeCell ref="F21:F22"/>
    <mergeCell ref="G21:G22"/>
    <mergeCell ref="B71:D71"/>
    <mergeCell ref="B73:B84"/>
    <mergeCell ref="B86:B95"/>
    <mergeCell ref="B96:B101"/>
    <mergeCell ref="C21:C22"/>
    <mergeCell ref="D21:D22"/>
    <mergeCell ref="B56:B62"/>
    <mergeCell ref="B69:E69"/>
    <mergeCell ref="D44:I44"/>
    <mergeCell ref="B46:E46"/>
    <mergeCell ref="B47:B53"/>
    <mergeCell ref="B55:E55"/>
    <mergeCell ref="B10:D10"/>
    <mergeCell ref="F10:S10"/>
    <mergeCell ref="F11:S11"/>
    <mergeCell ref="E12:R12"/>
    <mergeCell ref="E13:R13"/>
  </mergeCells>
  <conditionalFormatting sqref="F10">
    <cfRule type="notContainsBlanks" dxfId="104" priority="4">
      <formula>LEN(TRIM(F10))&gt;0</formula>
    </cfRule>
  </conditionalFormatting>
  <conditionalFormatting sqref="F11:S11">
    <cfRule type="expression" dxfId="103" priority="2">
      <formula>E11="NO SE REPORTA"</formula>
    </cfRule>
    <cfRule type="expression" dxfId="102" priority="3">
      <formula>E10="NO APLICA"</formula>
    </cfRule>
  </conditionalFormatting>
  <conditionalFormatting sqref="E12:R12">
    <cfRule type="expression" dxfId="101"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xr:uid="{00000000-0002-0000-0F00-000000000000}">
      <formula1>0</formula1>
    </dataValidation>
    <dataValidation type="list" allowBlank="1" showInputMessage="1" showErrorMessage="1" sqref="E11" xr:uid="{00000000-0002-0000-0F00-000001000000}">
      <formula1>REPORTE</formula1>
    </dataValidation>
    <dataValidation type="list" allowBlank="1" showInputMessage="1" showErrorMessage="1" sqref="E10" xr:uid="{00000000-0002-0000-0F00-000002000000}">
      <formula1>SI</formula1>
    </dataValidation>
  </dataValidations>
  <hyperlinks>
    <hyperlink ref="D84" r:id="rId1" display="http://cambioclimatico.minambiente.gov.co/" xr:uid="{00000000-0004-0000-0F00-000000000000}"/>
    <hyperlink ref="B9" location="'ANEXO 3'!A1" display="VOLVER AL INDICE" xr:uid="{00000000-0004-0000-0F00-000001000000}"/>
    <hyperlink ref="E51" r:id="rId2" xr:uid="{00000000-0004-0000-0F00-000002000000}"/>
  </hyperlinks>
  <pageMargins left="0.25" right="0.25" top="0.75" bottom="0.75" header="0.3" footer="0.3"/>
  <pageSetup paperSize="178" orientation="landscape"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U99"/>
  <sheetViews>
    <sheetView showGridLines="0" topLeftCell="A10" zoomScale="98" zoomScaleNormal="98" workbookViewId="0">
      <selection activeCell="E13" sqref="E13:R13"/>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6" width="10.7109375" style="241"/>
    <col min="7" max="7" width="13" style="241" customWidth="1"/>
    <col min="8"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741</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t="str">
        <f>IF(E10="NO APLICA","NO APLICA",IF(E11="NO SE REPORTA","SIN INFORMACION",+E19))</f>
        <v>N.A.</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1814</v>
      </c>
      <c r="F12" s="1056"/>
      <c r="G12" s="1056"/>
      <c r="H12" s="1056"/>
      <c r="I12" s="1056"/>
      <c r="J12" s="1056"/>
      <c r="K12" s="1056"/>
      <c r="L12" s="1056"/>
      <c r="M12" s="1056"/>
      <c r="N12" s="1056"/>
      <c r="O12" s="1056"/>
      <c r="P12" s="1056"/>
      <c r="Q12" s="1056"/>
      <c r="R12" s="1056"/>
    </row>
    <row r="13" spans="1:21" ht="32.25" customHeight="1">
      <c r="B13" s="300"/>
      <c r="C13" s="64"/>
      <c r="D13" s="132" t="s">
        <v>1447</v>
      </c>
      <c r="E13" s="1057" t="s">
        <v>1815</v>
      </c>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6" customHeight="1" thickTop="1" thickBot="1">
      <c r="B15" s="1088" t="s">
        <v>1449</v>
      </c>
      <c r="C15" s="65"/>
      <c r="D15" s="1009" t="s">
        <v>1816</v>
      </c>
      <c r="E15" s="1010"/>
      <c r="F15" s="1010"/>
      <c r="G15" s="1010"/>
      <c r="H15" s="1010"/>
      <c r="I15" s="1010"/>
      <c r="J15" s="1010"/>
      <c r="K15" s="1011"/>
    </row>
    <row r="16" spans="1:21" ht="15.75" thickBot="1">
      <c r="A16" s="146"/>
      <c r="B16" s="1004"/>
      <c r="C16" s="878" t="s">
        <v>1402</v>
      </c>
      <c r="D16" s="842" t="s">
        <v>1817</v>
      </c>
      <c r="E16" s="842" t="s">
        <v>1487</v>
      </c>
      <c r="F16" s="842" t="s">
        <v>1488</v>
      </c>
      <c r="G16" s="842" t="s">
        <v>1489</v>
      </c>
      <c r="H16" s="842" t="s">
        <v>1490</v>
      </c>
      <c r="I16" s="886"/>
      <c r="J16" s="146"/>
      <c r="K16" s="17"/>
    </row>
    <row r="17" spans="2:11" ht="24.75" thickBot="1">
      <c r="B17" s="1004"/>
      <c r="C17" s="857" t="s">
        <v>1605</v>
      </c>
      <c r="D17" s="845" t="s">
        <v>1818</v>
      </c>
      <c r="E17" s="161">
        <v>0</v>
      </c>
      <c r="F17" s="161">
        <v>0</v>
      </c>
      <c r="G17" s="161">
        <v>50</v>
      </c>
      <c r="H17" s="161">
        <v>50</v>
      </c>
      <c r="I17" s="147">
        <f>SUM(E17:H17)</f>
        <v>100</v>
      </c>
      <c r="J17" s="146"/>
      <c r="K17" s="17"/>
    </row>
    <row r="18" spans="2:11" ht="24.75" thickBot="1">
      <c r="B18" s="1004"/>
      <c r="C18" s="857" t="s">
        <v>1607</v>
      </c>
      <c r="D18" s="845" t="s">
        <v>1819</v>
      </c>
      <c r="E18" s="161">
        <v>0</v>
      </c>
      <c r="F18" s="161"/>
      <c r="G18" s="161"/>
      <c r="H18" s="161"/>
      <c r="I18" s="147">
        <f>SUM(E18:H18)</f>
        <v>0</v>
      </c>
      <c r="J18" s="146"/>
      <c r="K18" s="17"/>
    </row>
    <row r="19" spans="2:11" ht="24.75" thickBot="1">
      <c r="B19" s="1004"/>
      <c r="C19" s="857" t="s">
        <v>1610</v>
      </c>
      <c r="D19" s="845" t="s">
        <v>1820</v>
      </c>
      <c r="E19" s="143" t="str">
        <f>IFERROR(E18/E17,"N.A.")</f>
        <v>N.A.</v>
      </c>
      <c r="F19" s="143" t="str">
        <f>IFERROR(F18/F17,"N.A.")</f>
        <v>N.A.</v>
      </c>
      <c r="G19" s="143">
        <f>IFERROR(G18/G17,"N.A.")</f>
        <v>0</v>
      </c>
      <c r="H19" s="143">
        <f>IFERROR(H18/H17,"N.A.")</f>
        <v>0</v>
      </c>
      <c r="I19" s="143">
        <f>SUM(E19:H19)</f>
        <v>0</v>
      </c>
      <c r="K19" s="17"/>
    </row>
    <row r="20" spans="2:11">
      <c r="B20" s="838"/>
      <c r="C20" s="68"/>
      <c r="D20" s="1095" t="s">
        <v>1821</v>
      </c>
      <c r="E20" s="1096"/>
      <c r="F20" s="1096"/>
      <c r="G20" s="1096"/>
      <c r="H20" s="1096"/>
      <c r="I20" s="1096"/>
      <c r="J20" s="1096"/>
      <c r="K20" s="1097"/>
    </row>
    <row r="21" spans="2:11">
      <c r="B21" s="838"/>
      <c r="C21" s="68"/>
      <c r="D21" s="1012" t="s">
        <v>1726</v>
      </c>
      <c r="E21" s="1013"/>
      <c r="F21" s="1013"/>
      <c r="G21" s="1013"/>
      <c r="H21" s="1013"/>
      <c r="I21" s="1013"/>
      <c r="J21" s="1013"/>
      <c r="K21" s="1014"/>
    </row>
    <row r="22" spans="2:11">
      <c r="B22" s="838"/>
      <c r="C22" s="68"/>
      <c r="D22" s="1012" t="s">
        <v>1822</v>
      </c>
      <c r="E22" s="1013"/>
      <c r="F22" s="1013"/>
      <c r="G22" s="1013"/>
      <c r="H22" s="1013"/>
      <c r="I22" s="1013"/>
      <c r="J22" s="1013"/>
      <c r="K22" s="1014"/>
    </row>
    <row r="23" spans="2:11" ht="15.75" thickBot="1">
      <c r="B23" s="838"/>
      <c r="C23" s="68"/>
      <c r="D23" s="1044" t="s">
        <v>1823</v>
      </c>
      <c r="E23" s="1045"/>
      <c r="F23" s="1045"/>
      <c r="G23" s="1045"/>
      <c r="H23" s="1045"/>
      <c r="I23" s="1045"/>
      <c r="J23" s="1045"/>
      <c r="K23" s="1046"/>
    </row>
    <row r="24" spans="2:11" ht="36.75" thickBot="1">
      <c r="B24" s="838"/>
      <c r="C24" s="878" t="s">
        <v>1402</v>
      </c>
      <c r="D24" s="842" t="s">
        <v>1728</v>
      </c>
      <c r="E24" s="842" t="s">
        <v>1824</v>
      </c>
      <c r="F24" s="842" t="s">
        <v>1825</v>
      </c>
      <c r="G24" s="842" t="s">
        <v>1826</v>
      </c>
      <c r="H24" s="842" t="s">
        <v>1827</v>
      </c>
      <c r="I24" s="842" t="s">
        <v>1732</v>
      </c>
      <c r="J24" s="842" t="s">
        <v>1733</v>
      </c>
      <c r="K24" s="842" t="s">
        <v>1406</v>
      </c>
    </row>
    <row r="25" spans="2:11" s="146" customFormat="1" ht="40.5" customHeight="1" thickBot="1">
      <c r="B25" s="884"/>
      <c r="C25" s="173">
        <v>1</v>
      </c>
      <c r="D25" s="275" t="s">
        <v>1828</v>
      </c>
      <c r="E25" s="24" t="s">
        <v>1829</v>
      </c>
      <c r="F25" s="161">
        <v>100</v>
      </c>
      <c r="G25" s="161">
        <v>1000000000</v>
      </c>
      <c r="H25" s="161"/>
      <c r="I25" s="161"/>
      <c r="J25" s="161"/>
      <c r="K25" s="161"/>
    </row>
    <row r="26" spans="2:11" s="146" customFormat="1" ht="15.75" thickBot="1">
      <c r="B26" s="884"/>
      <c r="C26" s="173">
        <v>2</v>
      </c>
      <c r="D26" s="25"/>
      <c r="E26" s="25"/>
      <c r="F26" s="161"/>
      <c r="G26" s="161"/>
      <c r="H26" s="161"/>
      <c r="I26" s="161"/>
      <c r="J26" s="161"/>
      <c r="K26" s="161"/>
    </row>
    <row r="27" spans="2:11" s="146" customFormat="1" ht="15.75" thickBot="1">
      <c r="B27" s="884"/>
      <c r="C27" s="173">
        <v>3</v>
      </c>
      <c r="D27" s="25"/>
      <c r="E27" s="25"/>
      <c r="F27" s="161"/>
      <c r="G27" s="161"/>
      <c r="H27" s="161"/>
      <c r="I27" s="161"/>
      <c r="J27" s="161"/>
      <c r="K27" s="161"/>
    </row>
    <row r="28" spans="2:11" s="146" customFormat="1" ht="15.75" thickBot="1">
      <c r="B28" s="884"/>
      <c r="C28" s="173">
        <v>4</v>
      </c>
      <c r="D28" s="25"/>
      <c r="E28" s="25"/>
      <c r="F28" s="161"/>
      <c r="G28" s="161"/>
      <c r="H28" s="161"/>
      <c r="I28" s="161"/>
      <c r="J28" s="161"/>
      <c r="K28" s="161"/>
    </row>
    <row r="29" spans="2:11" s="146" customFormat="1" ht="15.75" thickBot="1">
      <c r="B29" s="884"/>
      <c r="C29" s="173">
        <v>5</v>
      </c>
      <c r="D29" s="25"/>
      <c r="E29" s="25"/>
      <c r="F29" s="161"/>
      <c r="G29" s="161"/>
      <c r="H29" s="161"/>
      <c r="I29" s="161"/>
      <c r="J29" s="161"/>
      <c r="K29" s="161"/>
    </row>
    <row r="30" spans="2:11" s="146" customFormat="1" ht="15.75" thickBot="1">
      <c r="B30" s="884"/>
      <c r="C30" s="173">
        <v>6</v>
      </c>
      <c r="D30" s="25"/>
      <c r="E30" s="25"/>
      <c r="F30" s="161"/>
      <c r="G30" s="161"/>
      <c r="H30" s="161"/>
      <c r="I30" s="161"/>
      <c r="J30" s="161"/>
      <c r="K30" s="161"/>
    </row>
    <row r="31" spans="2:11" s="146" customFormat="1" ht="15.75" thickBot="1">
      <c r="B31" s="884"/>
      <c r="C31" s="173">
        <v>7</v>
      </c>
      <c r="D31" s="25"/>
      <c r="E31" s="25"/>
      <c r="F31" s="161"/>
      <c r="G31" s="161"/>
      <c r="H31" s="161"/>
      <c r="I31" s="161"/>
      <c r="J31" s="161"/>
      <c r="K31" s="161"/>
    </row>
    <row r="32" spans="2:11" s="146" customFormat="1" ht="15.75" thickBot="1">
      <c r="B32" s="884"/>
      <c r="C32" s="173">
        <v>8</v>
      </c>
      <c r="D32" s="25"/>
      <c r="E32" s="25"/>
      <c r="F32" s="161"/>
      <c r="G32" s="161"/>
      <c r="H32" s="161"/>
      <c r="I32" s="161"/>
      <c r="J32" s="161"/>
      <c r="K32" s="161"/>
    </row>
    <row r="33" spans="2:11" s="146" customFormat="1" ht="15.75" thickBot="1">
      <c r="B33" s="884"/>
      <c r="C33" s="173">
        <v>9</v>
      </c>
      <c r="D33" s="25"/>
      <c r="E33" s="25"/>
      <c r="F33" s="161"/>
      <c r="G33" s="161"/>
      <c r="H33" s="161"/>
      <c r="I33" s="161"/>
      <c r="J33" s="161"/>
      <c r="K33" s="161"/>
    </row>
    <row r="34" spans="2:11" s="146" customFormat="1" ht="15.75" thickBot="1">
      <c r="B34" s="884"/>
      <c r="C34" s="173">
        <v>10</v>
      </c>
      <c r="D34" s="25"/>
      <c r="E34" s="25"/>
      <c r="F34" s="161"/>
      <c r="G34" s="161"/>
      <c r="H34" s="161"/>
      <c r="I34" s="161"/>
      <c r="J34" s="161"/>
      <c r="K34" s="161"/>
    </row>
    <row r="35" spans="2:11" s="146" customFormat="1" ht="15.75" thickBot="1">
      <c r="B35" s="884"/>
      <c r="C35" s="173">
        <v>11</v>
      </c>
      <c r="D35" s="25"/>
      <c r="E35" s="25"/>
      <c r="F35" s="161"/>
      <c r="G35" s="161"/>
      <c r="H35" s="161"/>
      <c r="I35" s="161"/>
      <c r="J35" s="161"/>
      <c r="K35" s="161"/>
    </row>
    <row r="36" spans="2:11" s="146" customFormat="1" ht="15.75" thickBot="1">
      <c r="B36" s="884"/>
      <c r="C36" s="173">
        <v>12</v>
      </c>
      <c r="D36" s="25"/>
      <c r="E36" s="25"/>
      <c r="F36" s="161"/>
      <c r="G36" s="161"/>
      <c r="H36" s="161"/>
      <c r="I36" s="161"/>
      <c r="J36" s="161"/>
      <c r="K36" s="161"/>
    </row>
    <row r="37" spans="2:11" ht="15.75" thickBot="1">
      <c r="B37" s="839"/>
      <c r="C37" s="857"/>
      <c r="D37" s="845" t="s">
        <v>1604</v>
      </c>
      <c r="E37" s="845"/>
      <c r="F37" s="98">
        <f>SUM(F25:F36)</f>
        <v>100</v>
      </c>
      <c r="G37" s="98">
        <f>SUM(G25:G36)</f>
        <v>1000000000</v>
      </c>
      <c r="H37" s="98">
        <f>SUM(H25:H36)</f>
        <v>0</v>
      </c>
      <c r="I37" s="98">
        <f>SUM(I25:I36)</f>
        <v>0</v>
      </c>
      <c r="J37" s="98">
        <f>SUM(J25:J36)</f>
        <v>0</v>
      </c>
      <c r="K37" s="10"/>
    </row>
    <row r="38" spans="2:11" ht="24" customHeight="1" thickBot="1">
      <c r="B38" s="867" t="s">
        <v>1504</v>
      </c>
      <c r="C38" s="77"/>
      <c r="D38" s="1041" t="s">
        <v>1830</v>
      </c>
      <c r="E38" s="1042"/>
      <c r="F38" s="1042"/>
      <c r="G38" s="1042"/>
      <c r="H38" s="1042"/>
      <c r="I38" s="1042"/>
      <c r="J38" s="1042"/>
      <c r="K38" s="1043"/>
    </row>
    <row r="39" spans="2:11" ht="24" customHeight="1" thickBot="1">
      <c r="B39" s="867" t="s">
        <v>1506</v>
      </c>
      <c r="C39" s="77"/>
      <c r="D39" s="1041" t="s">
        <v>1831</v>
      </c>
      <c r="E39" s="1042"/>
      <c r="F39" s="1042"/>
      <c r="G39" s="1042"/>
      <c r="H39" s="1042"/>
      <c r="I39" s="1042"/>
      <c r="J39" s="1042"/>
      <c r="K39" s="1043"/>
    </row>
    <row r="40" spans="2:11" ht="15.75" thickBot="1">
      <c r="B40" s="1"/>
      <c r="C40" s="55"/>
      <c r="D40" s="4"/>
      <c r="E40" s="4"/>
      <c r="F40" s="4"/>
      <c r="G40" s="4"/>
      <c r="H40" s="4"/>
      <c r="I40" s="4"/>
      <c r="J40" s="4"/>
      <c r="K40" s="4"/>
    </row>
    <row r="41" spans="2:11" ht="24" customHeight="1" thickBot="1">
      <c r="B41" s="1029" t="s">
        <v>1508</v>
      </c>
      <c r="C41" s="1030"/>
      <c r="D41" s="1030"/>
      <c r="E41" s="1031"/>
      <c r="F41" s="4"/>
      <c r="G41" s="4"/>
      <c r="H41" s="4"/>
      <c r="I41" s="4"/>
      <c r="J41" s="4"/>
      <c r="K41" s="4"/>
    </row>
    <row r="42" spans="2:11" ht="15.75" thickBot="1">
      <c r="B42" s="1032">
        <v>1</v>
      </c>
      <c r="C42" s="890"/>
      <c r="D42" s="37" t="s">
        <v>1509</v>
      </c>
      <c r="E42" s="25" t="s">
        <v>1510</v>
      </c>
      <c r="F42" s="4"/>
      <c r="G42" s="4"/>
      <c r="H42" s="4"/>
      <c r="I42" s="4"/>
      <c r="J42" s="4"/>
      <c r="K42" s="4"/>
    </row>
    <row r="43" spans="2:11" ht="24.75" thickBot="1">
      <c r="B43" s="1033"/>
      <c r="C43" s="890"/>
      <c r="D43" s="845" t="s">
        <v>10</v>
      </c>
      <c r="E43" s="24" t="s">
        <v>1511</v>
      </c>
      <c r="F43" s="4"/>
      <c r="G43" s="4"/>
      <c r="H43" s="4"/>
      <c r="I43" s="4"/>
      <c r="J43" s="4"/>
      <c r="K43" s="4"/>
    </row>
    <row r="44" spans="2:11" ht="24.75" thickBot="1">
      <c r="B44" s="1033"/>
      <c r="C44" s="890"/>
      <c r="D44" s="845" t="s">
        <v>1512</v>
      </c>
      <c r="E44" s="24" t="s">
        <v>1615</v>
      </c>
      <c r="F44" s="4"/>
      <c r="G44" s="4"/>
      <c r="H44" s="4"/>
      <c r="I44" s="4"/>
      <c r="J44" s="4"/>
      <c r="K44" s="4"/>
    </row>
    <row r="45" spans="2:11" ht="15.75" thickBot="1">
      <c r="B45" s="1033"/>
      <c r="C45" s="890"/>
      <c r="D45" s="845" t="s">
        <v>13</v>
      </c>
      <c r="E45" s="25" t="s">
        <v>1514</v>
      </c>
      <c r="F45" s="4"/>
      <c r="G45" s="4"/>
      <c r="H45" s="4"/>
      <c r="I45" s="4"/>
      <c r="J45" s="4"/>
      <c r="K45" s="4"/>
    </row>
    <row r="46" spans="2:11" ht="45.75" thickBot="1">
      <c r="B46" s="1033"/>
      <c r="C46" s="890"/>
      <c r="D46" s="845" t="s">
        <v>16</v>
      </c>
      <c r="E46" s="704" t="s">
        <v>1515</v>
      </c>
      <c r="F46" s="4"/>
      <c r="G46" s="4"/>
      <c r="H46" s="4"/>
      <c r="I46" s="4"/>
      <c r="J46" s="4"/>
      <c r="K46" s="4"/>
    </row>
    <row r="47" spans="2:11" ht="15.75" thickBot="1">
      <c r="B47" s="1033"/>
      <c r="C47" s="890"/>
      <c r="D47" s="845" t="s">
        <v>19</v>
      </c>
      <c r="E47" s="121">
        <v>3686626</v>
      </c>
      <c r="F47" s="4"/>
      <c r="G47" s="4"/>
      <c r="H47" s="4"/>
      <c r="I47" s="4"/>
      <c r="J47" s="4"/>
      <c r="K47" s="4"/>
    </row>
    <row r="48" spans="2:11" ht="24.75" thickBot="1">
      <c r="B48" s="1034"/>
      <c r="C48" s="857"/>
      <c r="D48" s="845" t="s">
        <v>1516</v>
      </c>
      <c r="E48" s="24" t="s">
        <v>1517</v>
      </c>
      <c r="F48" s="4"/>
      <c r="G48" s="4"/>
      <c r="H48" s="4"/>
      <c r="I48" s="4"/>
      <c r="J48" s="4"/>
      <c r="K48" s="4"/>
    </row>
    <row r="49" spans="2:11" ht="15.75" thickBot="1">
      <c r="B49" s="1"/>
      <c r="C49" s="55"/>
      <c r="D49" s="4"/>
      <c r="E49" s="4"/>
      <c r="F49" s="4"/>
      <c r="G49" s="4"/>
      <c r="H49" s="4"/>
      <c r="I49" s="4"/>
      <c r="J49" s="4"/>
      <c r="K49" s="4"/>
    </row>
    <row r="50" spans="2:11" ht="15.75" thickBot="1">
      <c r="B50" s="1029" t="s">
        <v>1518</v>
      </c>
      <c r="C50" s="1030"/>
      <c r="D50" s="1030"/>
      <c r="E50" s="1031"/>
      <c r="F50" s="4"/>
      <c r="G50" s="4"/>
      <c r="H50" s="4"/>
      <c r="I50" s="4"/>
      <c r="J50" s="4"/>
      <c r="K50" s="4"/>
    </row>
    <row r="51" spans="2:11" ht="15.75" thickBot="1">
      <c r="B51" s="1032">
        <v>1</v>
      </c>
      <c r="C51" s="890"/>
      <c r="D51" s="37" t="s">
        <v>1509</v>
      </c>
      <c r="E51" s="299" t="s">
        <v>1519</v>
      </c>
      <c r="F51" s="4"/>
      <c r="G51" s="4"/>
      <c r="H51" s="4"/>
      <c r="I51" s="4"/>
      <c r="J51" s="4"/>
      <c r="K51" s="4"/>
    </row>
    <row r="52" spans="2:11" ht="15.75" thickBot="1">
      <c r="B52" s="1033"/>
      <c r="C52" s="890"/>
      <c r="D52" s="845" t="s">
        <v>10</v>
      </c>
      <c r="E52" s="299" t="s">
        <v>1616</v>
      </c>
      <c r="F52" s="4"/>
      <c r="G52" s="4"/>
      <c r="H52" s="4"/>
      <c r="I52" s="4"/>
      <c r="J52" s="4"/>
      <c r="K52" s="4"/>
    </row>
    <row r="53" spans="2:11" ht="15.75" thickBot="1">
      <c r="B53" s="1033"/>
      <c r="C53" s="890"/>
      <c r="D53" s="845" t="s">
        <v>1512</v>
      </c>
      <c r="E53" s="211"/>
      <c r="F53" s="4"/>
      <c r="G53" s="4"/>
      <c r="H53" s="4"/>
      <c r="I53" s="4"/>
      <c r="J53" s="4"/>
      <c r="K53" s="4"/>
    </row>
    <row r="54" spans="2:11" ht="15.75" thickBot="1">
      <c r="B54" s="1033"/>
      <c r="C54" s="890"/>
      <c r="D54" s="845" t="s">
        <v>13</v>
      </c>
      <c r="E54" s="211"/>
      <c r="F54" s="4"/>
      <c r="G54" s="4"/>
      <c r="H54" s="4"/>
      <c r="I54" s="4"/>
      <c r="J54" s="4"/>
      <c r="K54" s="4"/>
    </row>
    <row r="55" spans="2:11" ht="15.75" thickBot="1">
      <c r="B55" s="1033"/>
      <c r="C55" s="890"/>
      <c r="D55" s="845" t="s">
        <v>16</v>
      </c>
      <c r="E55" s="211"/>
      <c r="F55" s="4"/>
      <c r="G55" s="4"/>
      <c r="H55" s="4"/>
      <c r="I55" s="4"/>
      <c r="J55" s="4"/>
      <c r="K55" s="4"/>
    </row>
    <row r="56" spans="2:11" ht="15.75" thickBot="1">
      <c r="B56" s="1033"/>
      <c r="C56" s="890"/>
      <c r="D56" s="845" t="s">
        <v>19</v>
      </c>
      <c r="E56" s="211"/>
      <c r="F56" s="4"/>
      <c r="G56" s="4"/>
      <c r="H56" s="4"/>
      <c r="I56" s="4"/>
      <c r="J56" s="4"/>
      <c r="K56" s="4"/>
    </row>
    <row r="57" spans="2:11" ht="15.75" thickBot="1">
      <c r="B57" s="1034"/>
      <c r="C57" s="857"/>
      <c r="D57" s="845" t="s">
        <v>1516</v>
      </c>
      <c r="E57" s="211"/>
      <c r="F57" s="4"/>
      <c r="G57" s="4"/>
      <c r="H57" s="4"/>
      <c r="I57" s="4"/>
      <c r="J57" s="4"/>
      <c r="K57" s="4"/>
    </row>
    <row r="58" spans="2:11" ht="15.75" thickBot="1">
      <c r="B58" s="1"/>
      <c r="C58" s="55"/>
      <c r="D58" s="4"/>
      <c r="E58" s="4"/>
      <c r="F58" s="4"/>
      <c r="G58" s="4"/>
      <c r="H58" s="4"/>
      <c r="I58" s="4"/>
      <c r="J58" s="4"/>
      <c r="K58" s="4"/>
    </row>
    <row r="59" spans="2:11" ht="15" customHeight="1" thickBot="1">
      <c r="B59" s="88" t="s">
        <v>1521</v>
      </c>
      <c r="C59" s="89"/>
      <c r="D59" s="89"/>
      <c r="E59" s="90"/>
      <c r="G59" s="4"/>
      <c r="H59" s="4"/>
      <c r="I59" s="4"/>
      <c r="J59" s="4"/>
      <c r="K59" s="4"/>
    </row>
    <row r="60" spans="2:11" ht="24.75" thickBot="1">
      <c r="B60" s="839" t="s">
        <v>1522</v>
      </c>
      <c r="C60" s="845" t="s">
        <v>1523</v>
      </c>
      <c r="D60" s="845" t="s">
        <v>1524</v>
      </c>
      <c r="E60" s="845" t="s">
        <v>1525</v>
      </c>
      <c r="F60" s="4"/>
      <c r="G60" s="4"/>
      <c r="H60" s="4"/>
      <c r="I60" s="4"/>
      <c r="J60" s="4"/>
    </row>
    <row r="61" spans="2:11" ht="72.75" thickBot="1">
      <c r="B61" s="38">
        <v>42401</v>
      </c>
      <c r="C61" s="845">
        <v>0.01</v>
      </c>
      <c r="D61" s="837" t="s">
        <v>1832</v>
      </c>
      <c r="E61" s="845"/>
      <c r="F61" s="4"/>
      <c r="G61" s="4"/>
      <c r="H61" s="4"/>
      <c r="I61" s="4"/>
      <c r="J61" s="4"/>
    </row>
    <row r="62" spans="2:11" ht="15.75" thickBot="1">
      <c r="B62" s="2"/>
      <c r="C62" s="70"/>
      <c r="D62" s="4"/>
      <c r="E62" s="4"/>
      <c r="F62" s="4"/>
      <c r="G62" s="4"/>
      <c r="H62" s="4"/>
      <c r="I62" s="4"/>
      <c r="J62" s="4"/>
      <c r="K62" s="4"/>
    </row>
    <row r="63" spans="2:11" ht="15.75" thickBot="1">
      <c r="B63" s="3" t="s">
        <v>1406</v>
      </c>
      <c r="C63" s="705"/>
      <c r="D63" s="4"/>
      <c r="E63" s="4"/>
      <c r="F63" s="4"/>
      <c r="G63" s="4"/>
      <c r="H63" s="4"/>
      <c r="I63" s="4"/>
      <c r="J63" s="4"/>
      <c r="K63" s="4"/>
    </row>
    <row r="64" spans="2:11">
      <c r="B64" s="1081"/>
      <c r="C64" s="1082"/>
      <c r="D64" s="1082"/>
      <c r="E64" s="1082"/>
      <c r="F64" s="4"/>
      <c r="G64" s="4"/>
      <c r="H64" s="4"/>
      <c r="I64" s="4"/>
      <c r="J64" s="4"/>
      <c r="K64" s="4"/>
    </row>
    <row r="65" spans="2:11">
      <c r="B65" s="1081"/>
      <c r="C65" s="1082"/>
      <c r="D65" s="1082"/>
      <c r="E65" s="1082"/>
      <c r="F65" s="4"/>
      <c r="G65" s="4"/>
      <c r="H65" s="4"/>
      <c r="I65" s="4"/>
      <c r="J65" s="4"/>
      <c r="K65" s="4"/>
    </row>
    <row r="66" spans="2:11" ht="15.75" thickBot="1">
      <c r="B66" s="4"/>
      <c r="D66" s="4"/>
      <c r="E66" s="4"/>
      <c r="F66" s="4"/>
      <c r="G66" s="4"/>
      <c r="H66" s="4"/>
      <c r="I66" s="4"/>
      <c r="J66" s="4"/>
      <c r="K66" s="4"/>
    </row>
    <row r="67" spans="2:11" ht="24.75" thickBot="1">
      <c r="B67" s="39" t="s">
        <v>1527</v>
      </c>
      <c r="C67" s="708"/>
      <c r="D67" s="4"/>
      <c r="E67" s="4"/>
      <c r="F67" s="4"/>
      <c r="G67" s="4"/>
      <c r="H67" s="4"/>
      <c r="I67" s="4"/>
      <c r="J67" s="4"/>
      <c r="K67" s="4"/>
    </row>
    <row r="68" spans="2:11" ht="15.75" thickBot="1">
      <c r="B68" s="31"/>
      <c r="C68" s="64"/>
      <c r="D68" s="4"/>
      <c r="E68" s="4"/>
      <c r="F68" s="4"/>
      <c r="G68" s="4"/>
      <c r="H68" s="4"/>
      <c r="I68" s="4"/>
      <c r="J68" s="4"/>
      <c r="K68" s="4"/>
    </row>
    <row r="69" spans="2:11" ht="60.75" thickBot="1">
      <c r="B69" s="40" t="s">
        <v>1528</v>
      </c>
      <c r="C69" s="878"/>
      <c r="D69" s="842" t="s">
        <v>1833</v>
      </c>
      <c r="E69" s="4"/>
      <c r="F69" s="4"/>
      <c r="G69" s="4"/>
      <c r="H69" s="4"/>
      <c r="I69" s="4"/>
      <c r="J69" s="4"/>
      <c r="K69" s="4"/>
    </row>
    <row r="70" spans="2:11">
      <c r="B70" s="1032" t="s">
        <v>1530</v>
      </c>
      <c r="C70" s="890"/>
      <c r="D70" s="836" t="s">
        <v>1531</v>
      </c>
      <c r="E70" s="4"/>
      <c r="F70" s="4"/>
      <c r="G70" s="4"/>
      <c r="H70" s="4"/>
      <c r="I70" s="4"/>
      <c r="J70" s="4"/>
      <c r="K70" s="4"/>
    </row>
    <row r="71" spans="2:11" ht="72">
      <c r="B71" s="1033"/>
      <c r="C71" s="890"/>
      <c r="D71" s="829" t="s">
        <v>1834</v>
      </c>
      <c r="E71" s="4"/>
      <c r="F71" s="4"/>
      <c r="G71" s="4"/>
      <c r="H71" s="4"/>
      <c r="I71" s="4"/>
      <c r="J71" s="4"/>
      <c r="K71" s="4"/>
    </row>
    <row r="72" spans="2:11">
      <c r="B72" s="1033"/>
      <c r="C72" s="890"/>
      <c r="D72" s="836" t="s">
        <v>1835</v>
      </c>
      <c r="E72" s="4"/>
      <c r="F72" s="4"/>
      <c r="G72" s="4"/>
      <c r="H72" s="4"/>
      <c r="I72" s="4"/>
      <c r="J72" s="4"/>
      <c r="K72" s="4"/>
    </row>
    <row r="73" spans="2:11">
      <c r="B73" s="1033"/>
      <c r="C73" s="890"/>
      <c r="D73" s="829" t="s">
        <v>1836</v>
      </c>
      <c r="E73" s="4"/>
      <c r="F73" s="4"/>
      <c r="G73" s="4"/>
      <c r="H73" s="4"/>
      <c r="I73" s="4"/>
      <c r="J73" s="4"/>
      <c r="K73" s="4"/>
    </row>
    <row r="74" spans="2:11" ht="60">
      <c r="B74" s="1033"/>
      <c r="C74" s="890"/>
      <c r="D74" s="829" t="s">
        <v>1837</v>
      </c>
      <c r="E74" s="4"/>
      <c r="F74" s="4"/>
      <c r="G74" s="4"/>
      <c r="H74" s="4"/>
      <c r="I74" s="4"/>
      <c r="J74" s="4"/>
      <c r="K74" s="4"/>
    </row>
    <row r="75" spans="2:11" ht="252">
      <c r="B75" s="1033"/>
      <c r="C75" s="890"/>
      <c r="D75" s="829" t="s">
        <v>1838</v>
      </c>
      <c r="E75" s="4"/>
      <c r="F75" s="4"/>
      <c r="G75" s="4"/>
      <c r="H75" s="4"/>
      <c r="I75" s="4"/>
      <c r="J75" s="4"/>
      <c r="K75" s="4"/>
    </row>
    <row r="76" spans="2:11">
      <c r="B76" s="1033"/>
      <c r="C76" s="890"/>
      <c r="D76" s="836" t="s">
        <v>1797</v>
      </c>
      <c r="E76" s="4"/>
      <c r="F76" s="4"/>
      <c r="G76" s="4"/>
      <c r="H76" s="4"/>
      <c r="I76" s="4"/>
      <c r="J76" s="4"/>
      <c r="K76" s="4"/>
    </row>
    <row r="77" spans="2:11" ht="15.75" thickBot="1">
      <c r="B77" s="1034"/>
      <c r="C77" s="857"/>
      <c r="D77" s="845" t="s">
        <v>1839</v>
      </c>
      <c r="E77" s="4"/>
      <c r="F77" s="4"/>
      <c r="G77" s="4"/>
      <c r="H77" s="4"/>
      <c r="I77" s="4"/>
      <c r="J77" s="4"/>
      <c r="K77" s="4"/>
    </row>
    <row r="78" spans="2:11">
      <c r="B78" s="1032" t="s">
        <v>1543</v>
      </c>
      <c r="C78" s="854"/>
      <c r="D78" s="1032"/>
      <c r="E78" s="4"/>
      <c r="F78" s="4"/>
      <c r="G78" s="4"/>
      <c r="H78" s="4"/>
      <c r="I78" s="4"/>
      <c r="J78" s="4"/>
      <c r="K78" s="4"/>
    </row>
    <row r="79" spans="2:11" ht="15.75" thickBot="1">
      <c r="B79" s="1034"/>
      <c r="C79" s="855"/>
      <c r="D79" s="1034"/>
      <c r="E79" s="4"/>
      <c r="F79" s="4"/>
      <c r="G79" s="4"/>
      <c r="H79" s="4"/>
      <c r="I79" s="4"/>
      <c r="J79" s="4"/>
      <c r="K79" s="4"/>
    </row>
    <row r="80" spans="2:11" ht="180">
      <c r="B80" s="1032" t="s">
        <v>1544</v>
      </c>
      <c r="C80" s="890"/>
      <c r="D80" s="829" t="s">
        <v>1840</v>
      </c>
      <c r="E80" s="4"/>
      <c r="F80" s="4"/>
      <c r="G80" s="4"/>
      <c r="H80" s="4"/>
      <c r="I80" s="4"/>
      <c r="J80" s="4"/>
      <c r="K80" s="4"/>
    </row>
    <row r="81" spans="2:11" ht="120">
      <c r="B81" s="1033"/>
      <c r="C81" s="890"/>
      <c r="D81" s="829" t="s">
        <v>1841</v>
      </c>
      <c r="E81" s="4"/>
      <c r="F81" s="4"/>
      <c r="G81" s="4"/>
      <c r="H81" s="4"/>
      <c r="I81" s="4"/>
      <c r="J81" s="4"/>
      <c r="K81" s="4"/>
    </row>
    <row r="82" spans="2:11" ht="120">
      <c r="B82" s="1033"/>
      <c r="C82" s="890"/>
      <c r="D82" s="829" t="s">
        <v>1842</v>
      </c>
      <c r="E82" s="4"/>
      <c r="F82" s="4"/>
      <c r="G82" s="4"/>
      <c r="H82" s="4"/>
      <c r="I82" s="4"/>
      <c r="J82" s="4"/>
      <c r="K82" s="4"/>
    </row>
    <row r="83" spans="2:11" ht="84">
      <c r="B83" s="1033"/>
      <c r="C83" s="890"/>
      <c r="D83" s="829" t="s">
        <v>1843</v>
      </c>
      <c r="E83" s="4"/>
      <c r="F83" s="4"/>
      <c r="G83" s="4"/>
      <c r="H83" s="4"/>
      <c r="I83" s="4"/>
      <c r="J83" s="4"/>
      <c r="K83" s="4"/>
    </row>
    <row r="84" spans="2:11" ht="72">
      <c r="B84" s="1033"/>
      <c r="C84" s="890"/>
      <c r="D84" s="829" t="s">
        <v>1844</v>
      </c>
      <c r="E84" s="4"/>
      <c r="F84" s="4"/>
      <c r="G84" s="4"/>
      <c r="H84" s="4"/>
      <c r="I84" s="4"/>
      <c r="J84" s="4"/>
      <c r="K84" s="4"/>
    </row>
    <row r="85" spans="2:11" ht="192">
      <c r="B85" s="1033"/>
      <c r="C85" s="890"/>
      <c r="D85" s="829" t="s">
        <v>1845</v>
      </c>
      <c r="E85" s="4"/>
      <c r="F85" s="4"/>
      <c r="G85" s="4"/>
      <c r="H85" s="4"/>
      <c r="I85" s="4"/>
      <c r="J85" s="4"/>
      <c r="K85" s="4"/>
    </row>
    <row r="86" spans="2:11" ht="108.75" thickBot="1">
      <c r="B86" s="1034"/>
      <c r="C86" s="857"/>
      <c r="D86" s="845" t="s">
        <v>1846</v>
      </c>
      <c r="E86" s="4"/>
      <c r="F86" s="4"/>
      <c r="G86" s="4"/>
      <c r="H86" s="4"/>
      <c r="I86" s="4"/>
      <c r="J86" s="4"/>
      <c r="K86" s="4"/>
    </row>
    <row r="87" spans="2:11" ht="24">
      <c r="B87" s="1032" t="s">
        <v>1561</v>
      </c>
      <c r="C87" s="890"/>
      <c r="D87" s="836" t="s">
        <v>1847</v>
      </c>
      <c r="E87" s="4"/>
      <c r="F87" s="4"/>
      <c r="G87" s="4"/>
      <c r="H87" s="4"/>
      <c r="I87" s="4"/>
      <c r="J87" s="4"/>
      <c r="K87" s="4"/>
    </row>
    <row r="88" spans="2:11">
      <c r="B88" s="1033"/>
      <c r="C88" s="890"/>
      <c r="D88" s="826"/>
      <c r="E88" s="4"/>
      <c r="F88" s="4"/>
      <c r="G88" s="4"/>
      <c r="H88" s="4"/>
      <c r="I88" s="4"/>
      <c r="J88" s="4"/>
      <c r="K88" s="4"/>
    </row>
    <row r="89" spans="2:11">
      <c r="B89" s="1033"/>
      <c r="C89" s="890"/>
      <c r="D89" s="829" t="s">
        <v>1562</v>
      </c>
      <c r="E89" s="4"/>
      <c r="F89" s="4"/>
      <c r="G89" s="4"/>
      <c r="H89" s="4"/>
      <c r="I89" s="4"/>
      <c r="J89" s="4"/>
      <c r="K89" s="4"/>
    </row>
    <row r="90" spans="2:11" ht="37.5">
      <c r="B90" s="1033"/>
      <c r="C90" s="890"/>
      <c r="D90" s="829" t="s">
        <v>1848</v>
      </c>
      <c r="E90" s="4"/>
      <c r="F90" s="4"/>
      <c r="G90" s="4"/>
      <c r="H90" s="4"/>
      <c r="I90" s="4"/>
      <c r="J90" s="4"/>
      <c r="K90" s="4"/>
    </row>
    <row r="91" spans="2:11" ht="37.5">
      <c r="B91" s="1033"/>
      <c r="C91" s="890"/>
      <c r="D91" s="829" t="s">
        <v>1849</v>
      </c>
      <c r="E91" s="4"/>
      <c r="F91" s="4"/>
      <c r="G91" s="4"/>
      <c r="H91" s="4"/>
      <c r="I91" s="4"/>
      <c r="J91" s="4"/>
      <c r="K91" s="4"/>
    </row>
    <row r="92" spans="2:11" ht="37.5">
      <c r="B92" s="1033"/>
      <c r="C92" s="890"/>
      <c r="D92" s="829" t="s">
        <v>1850</v>
      </c>
      <c r="E92" s="4"/>
      <c r="F92" s="4"/>
      <c r="G92" s="4"/>
      <c r="H92" s="4"/>
      <c r="I92" s="4"/>
      <c r="J92" s="4"/>
      <c r="K92" s="4"/>
    </row>
    <row r="93" spans="2:11" ht="84">
      <c r="B93" s="1033"/>
      <c r="C93" s="890"/>
      <c r="D93" s="41" t="s">
        <v>1762</v>
      </c>
      <c r="E93" s="4"/>
      <c r="F93" s="4"/>
      <c r="G93" s="4"/>
      <c r="H93" s="4"/>
      <c r="I93" s="4"/>
      <c r="J93" s="4"/>
      <c r="K93" s="4"/>
    </row>
    <row r="94" spans="2:11">
      <c r="B94" s="1033"/>
      <c r="C94" s="890"/>
      <c r="D94" s="836" t="s">
        <v>1726</v>
      </c>
      <c r="E94" s="4"/>
      <c r="F94" s="4"/>
      <c r="G94" s="4"/>
      <c r="H94" s="4"/>
      <c r="I94" s="4"/>
      <c r="J94" s="4"/>
      <c r="K94" s="4"/>
    </row>
    <row r="95" spans="2:11" ht="36">
      <c r="B95" s="1033"/>
      <c r="C95" s="890"/>
      <c r="D95" s="836" t="s">
        <v>1822</v>
      </c>
      <c r="E95" s="4"/>
      <c r="F95" s="4"/>
      <c r="G95" s="4"/>
      <c r="H95" s="4"/>
      <c r="I95" s="4"/>
      <c r="J95" s="4"/>
      <c r="K95" s="4"/>
    </row>
    <row r="96" spans="2:11">
      <c r="B96" s="1033"/>
      <c r="C96" s="890"/>
      <c r="D96" s="826"/>
      <c r="E96" s="4"/>
      <c r="F96" s="4"/>
      <c r="G96" s="4"/>
      <c r="H96" s="4"/>
      <c r="I96" s="4"/>
      <c r="J96" s="4"/>
      <c r="K96" s="4"/>
    </row>
    <row r="97" spans="2:11">
      <c r="B97" s="1033"/>
      <c r="C97" s="890"/>
      <c r="D97" s="829" t="s">
        <v>1562</v>
      </c>
      <c r="E97" s="4"/>
      <c r="F97" s="4"/>
      <c r="G97" s="4"/>
      <c r="H97" s="4"/>
      <c r="I97" s="4"/>
      <c r="J97" s="4"/>
      <c r="K97" s="4"/>
    </row>
    <row r="98" spans="2:11" ht="37.5">
      <c r="B98" s="1033"/>
      <c r="C98" s="890"/>
      <c r="D98" s="829" t="s">
        <v>1851</v>
      </c>
      <c r="E98" s="4"/>
      <c r="F98" s="4"/>
      <c r="G98" s="4"/>
      <c r="H98" s="4"/>
      <c r="I98" s="4"/>
      <c r="J98" s="4"/>
      <c r="K98" s="4"/>
    </row>
    <row r="99" spans="2:11" ht="62.25" thickBot="1">
      <c r="B99" s="1034"/>
      <c r="C99" s="857"/>
      <c r="D99" s="845" t="s">
        <v>1852</v>
      </c>
      <c r="E99" s="4"/>
      <c r="F99" s="4"/>
      <c r="G99" s="4"/>
      <c r="H99" s="4"/>
      <c r="I99" s="4"/>
      <c r="J99" s="4"/>
      <c r="K99" s="4"/>
    </row>
  </sheetData>
  <mergeCells count="28">
    <mergeCell ref="A1:P1"/>
    <mergeCell ref="A2:P2"/>
    <mergeCell ref="A3:P3"/>
    <mergeCell ref="A4:D4"/>
    <mergeCell ref="A5:P5"/>
    <mergeCell ref="B64:E65"/>
    <mergeCell ref="D15:K15"/>
    <mergeCell ref="D20:K20"/>
    <mergeCell ref="D21:K21"/>
    <mergeCell ref="D22:K22"/>
    <mergeCell ref="B15:B19"/>
    <mergeCell ref="B51:B57"/>
    <mergeCell ref="D23:K23"/>
    <mergeCell ref="D38:K38"/>
    <mergeCell ref="D39:K39"/>
    <mergeCell ref="B41:E41"/>
    <mergeCell ref="B42:B48"/>
    <mergeCell ref="B50:E50"/>
    <mergeCell ref="B70:B77"/>
    <mergeCell ref="B78:B79"/>
    <mergeCell ref="D78:D79"/>
    <mergeCell ref="B80:B86"/>
    <mergeCell ref="B87:B99"/>
    <mergeCell ref="B10:D10"/>
    <mergeCell ref="F10:S10"/>
    <mergeCell ref="F11:S11"/>
    <mergeCell ref="E12:R12"/>
    <mergeCell ref="E13:R13"/>
  </mergeCells>
  <conditionalFormatting sqref="F10">
    <cfRule type="notContainsBlanks" dxfId="100" priority="4">
      <formula>LEN(TRIM(F10))&gt;0</formula>
    </cfRule>
  </conditionalFormatting>
  <conditionalFormatting sqref="F11:S11">
    <cfRule type="expression" dxfId="99" priority="2">
      <formula>E11="NO SE REPORTA"</formula>
    </cfRule>
    <cfRule type="expression" dxfId="98" priority="3">
      <formula>E10="NO APLICA"</formula>
    </cfRule>
  </conditionalFormatting>
  <conditionalFormatting sqref="E12:R12">
    <cfRule type="expression" dxfId="97" priority="1">
      <formula>E11="SI SE REPORTA"</formula>
    </cfRule>
  </conditionalFormatting>
  <dataValidations count="6">
    <dataValidation type="whole" operator="greaterThanOrEqual" allowBlank="1" showInputMessage="1" showErrorMessage="1" errorTitle="ERROR" error="Valor en PESOS (sin centavos)" sqref="G25:J36" xr:uid="{00000000-0002-0000-1000-000000000000}">
      <formula1>0</formula1>
    </dataValidation>
    <dataValidation type="whole" operator="greaterThanOrEqual" allowBlank="1" showInputMessage="1" showErrorMessage="1" errorTitle="ERROR" error="Valor en HECTAREAS (sin decimales)_x000a_" sqref="E17:H18 F25:F36" xr:uid="{00000000-0002-0000-1000-000001000000}">
      <formula1>0</formula1>
    </dataValidation>
    <dataValidation allowBlank="1" showInputMessage="1" showErrorMessage="1" promptTitle="OJO" prompt="NO TOCAR" sqref="F37:J37" xr:uid="{00000000-0002-0000-1000-000002000000}"/>
    <dataValidation allowBlank="1" showInputMessage="1" showErrorMessage="1" sqref="E19:H19" xr:uid="{00000000-0002-0000-1000-000003000000}"/>
    <dataValidation type="list" allowBlank="1" showInputMessage="1" showErrorMessage="1" sqref="E11" xr:uid="{00000000-0002-0000-1000-000004000000}">
      <formula1>REPORTE</formula1>
    </dataValidation>
    <dataValidation type="list" allowBlank="1" showInputMessage="1" showErrorMessage="1" sqref="E10" xr:uid="{00000000-0002-0000-1000-000005000000}">
      <formula1>SI</formula1>
    </dataValidation>
  </dataValidations>
  <hyperlinks>
    <hyperlink ref="B9" location="'ANEXO 3'!A1" display="VOLVER AL INDICE" xr:uid="{00000000-0004-0000-1000-000000000000}"/>
    <hyperlink ref="E46" r:id="rId1" xr:uid="{00000000-0004-0000-1000-000001000000}"/>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55"/>
  <sheetViews>
    <sheetView showGridLines="0" topLeftCell="A16" zoomScale="98" zoomScaleNormal="98" workbookViewId="0">
      <selection activeCell="D20" sqref="D20"/>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743</v>
      </c>
      <c r="B5" s="996"/>
      <c r="C5" s="996"/>
      <c r="D5" s="996"/>
      <c r="E5" s="996"/>
      <c r="F5" s="996"/>
      <c r="G5" s="996"/>
      <c r="H5" s="996"/>
      <c r="I5" s="996"/>
      <c r="J5" s="996"/>
      <c r="K5" s="996"/>
      <c r="L5" s="996"/>
      <c r="M5" s="996"/>
      <c r="N5" s="996"/>
      <c r="O5" s="996"/>
      <c r="P5" s="997"/>
    </row>
    <row r="6" spans="1:21">
      <c r="B6" s="720"/>
      <c r="C6" s="721"/>
      <c r="D6" s="4"/>
      <c r="E6" s="4"/>
      <c r="F6" s="4"/>
      <c r="G6" s="4"/>
      <c r="H6" s="4"/>
      <c r="I6" s="4"/>
      <c r="J6" s="4"/>
      <c r="K6" s="4"/>
    </row>
    <row r="7" spans="1:21">
      <c r="B7" s="1" t="s">
        <v>1437</v>
      </c>
      <c r="C7" s="55"/>
      <c r="D7" s="4"/>
      <c r="E7" s="53"/>
      <c r="F7" s="4" t="s">
        <v>1438</v>
      </c>
      <c r="G7" s="4"/>
      <c r="H7" s="4"/>
      <c r="I7" s="4"/>
      <c r="J7" s="4"/>
      <c r="K7" s="4"/>
    </row>
    <row r="8" spans="1:21" ht="15.75" thickBot="1">
      <c r="B8" s="702"/>
      <c r="C8" s="706"/>
      <c r="D8" s="4"/>
      <c r="E8" s="13"/>
      <c r="F8" s="4" t="s">
        <v>1439</v>
      </c>
      <c r="G8" s="4"/>
      <c r="H8" s="4"/>
      <c r="I8" s="4"/>
      <c r="J8" s="4"/>
      <c r="K8" s="4"/>
    </row>
    <row r="9" spans="1:21" ht="15.75" thickBot="1">
      <c r="B9" s="132" t="s">
        <v>1440</v>
      </c>
      <c r="C9" s="164">
        <v>2020</v>
      </c>
      <c r="D9" s="169" t="str">
        <f>IF(E11="NO APLICA","NO APLICA",IF(E12="NO SE REPORTA","SIN INFORMACION",+E96))</f>
        <v>N.A.</v>
      </c>
      <c r="E9" s="165"/>
      <c r="F9" s="4" t="s">
        <v>1441</v>
      </c>
      <c r="G9" s="4"/>
      <c r="H9" s="4"/>
      <c r="I9" s="4"/>
      <c r="J9" s="4"/>
      <c r="K9" s="4"/>
    </row>
    <row r="10" spans="1:21">
      <c r="B10" s="300" t="s">
        <v>1442</v>
      </c>
      <c r="C10" s="55"/>
      <c r="D10" s="4"/>
      <c r="E10" s="4"/>
      <c r="F10" s="4"/>
      <c r="G10" s="4"/>
      <c r="H10" s="4"/>
      <c r="I10" s="4"/>
      <c r="J10" s="4"/>
      <c r="K10" s="4"/>
    </row>
    <row r="11" spans="1:21">
      <c r="B11" s="1053" t="s">
        <v>1443</v>
      </c>
      <c r="C11" s="1053"/>
      <c r="D11" s="1053"/>
      <c r="E11" s="306" t="s">
        <v>1444</v>
      </c>
      <c r="F11" s="1060"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1061"/>
      <c r="H11" s="1061"/>
      <c r="I11" s="1061"/>
      <c r="J11" s="1061"/>
      <c r="K11" s="1061"/>
      <c r="L11" s="1061"/>
      <c r="M11" s="1061"/>
      <c r="N11" s="1061"/>
      <c r="O11" s="1061"/>
      <c r="P11" s="1061"/>
      <c r="Q11" s="1061"/>
      <c r="R11" s="1061"/>
      <c r="S11" s="1061"/>
      <c r="T11" s="4"/>
      <c r="U11" s="4"/>
    </row>
    <row r="12" spans="1:21" ht="14.45" customHeight="1">
      <c r="B12" s="303"/>
      <c r="C12" s="64"/>
      <c r="D12" s="132" t="str">
        <f>IF(E11="SI APLICA","¿El indicador no se reporta por limitaciones de información disponible? ","")</f>
        <v xml:space="preserve">¿El indicador no se reporta por limitaciones de información disponible? </v>
      </c>
      <c r="E12" s="307" t="s">
        <v>1445</v>
      </c>
      <c r="F12" s="1054"/>
      <c r="G12" s="1055"/>
      <c r="H12" s="1055"/>
      <c r="I12" s="1055"/>
      <c r="J12" s="1055"/>
      <c r="K12" s="1055"/>
      <c r="L12" s="1055"/>
      <c r="M12" s="1055"/>
      <c r="N12" s="1055"/>
      <c r="O12" s="1055"/>
      <c r="P12" s="1055"/>
      <c r="Q12" s="1055"/>
      <c r="R12" s="1055"/>
      <c r="S12" s="1055"/>
    </row>
    <row r="13" spans="1:21" ht="23.45" customHeight="1">
      <c r="B13" s="300"/>
      <c r="C13" s="64"/>
      <c r="D13" s="132" t="str">
        <f>IF(E12="SI SE REPORTA","¿Qué programas o proyectos del Plan de Acción están asociados al indicador? ","")</f>
        <v xml:space="preserve">¿Qué programas o proyectos del Plan de Acción están asociados al indicador? </v>
      </c>
      <c r="E13" s="1056" t="s">
        <v>1853</v>
      </c>
      <c r="F13" s="1056"/>
      <c r="G13" s="1056"/>
      <c r="H13" s="1056"/>
      <c r="I13" s="1056"/>
      <c r="J13" s="1056"/>
      <c r="K13" s="1056"/>
      <c r="L13" s="1056"/>
      <c r="M13" s="1056"/>
      <c r="N13" s="1056"/>
      <c r="O13" s="1056"/>
      <c r="P13" s="1056"/>
      <c r="Q13" s="1056"/>
      <c r="R13" s="1056"/>
    </row>
    <row r="14" spans="1:21" ht="28.5" customHeight="1">
      <c r="B14" s="300"/>
      <c r="C14" s="64"/>
      <c r="D14" s="132" t="s">
        <v>1447</v>
      </c>
      <c r="E14" s="1057" t="s">
        <v>1854</v>
      </c>
      <c r="F14" s="1058"/>
      <c r="G14" s="1058"/>
      <c r="H14" s="1058"/>
      <c r="I14" s="1058"/>
      <c r="J14" s="1058"/>
      <c r="K14" s="1058"/>
      <c r="L14" s="1058"/>
      <c r="M14" s="1058"/>
      <c r="N14" s="1058"/>
      <c r="O14" s="1058"/>
      <c r="P14" s="1058"/>
      <c r="Q14" s="1058"/>
      <c r="R14" s="1059"/>
    </row>
    <row r="15" spans="1:21" ht="6.95" customHeight="1" thickBot="1">
      <c r="B15" s="300"/>
      <c r="C15" s="55"/>
      <c r="D15" s="4"/>
      <c r="E15" s="4"/>
      <c r="F15" s="4"/>
      <c r="G15" s="4"/>
      <c r="H15" s="4"/>
      <c r="I15" s="4"/>
      <c r="J15" s="4"/>
      <c r="K15" s="4"/>
    </row>
    <row r="16" spans="1:21" ht="15" customHeight="1" thickBot="1">
      <c r="B16" s="1032" t="s">
        <v>1449</v>
      </c>
      <c r="C16" s="65"/>
      <c r="D16" s="833" t="s">
        <v>1816</v>
      </c>
      <c r="E16" s="834"/>
      <c r="F16" s="834"/>
      <c r="G16" s="834"/>
      <c r="H16" s="834"/>
      <c r="I16" s="834"/>
      <c r="J16" s="835"/>
      <c r="K16" s="4"/>
    </row>
    <row r="17" spans="2:11">
      <c r="B17" s="1033"/>
      <c r="C17" s="1089" t="s">
        <v>1402</v>
      </c>
      <c r="D17" s="1093" t="s">
        <v>1603</v>
      </c>
      <c r="E17" s="1106" t="s">
        <v>1855</v>
      </c>
      <c r="F17" s="1102" t="s">
        <v>1856</v>
      </c>
      <c r="G17" s="1106" t="s">
        <v>1604</v>
      </c>
      <c r="H17" s="4"/>
      <c r="J17" s="17"/>
      <c r="K17" s="4"/>
    </row>
    <row r="18" spans="2:11" ht="15.75" thickBot="1">
      <c r="B18" s="1033"/>
      <c r="C18" s="1090"/>
      <c r="D18" s="1094"/>
      <c r="E18" s="1107"/>
      <c r="F18" s="1103"/>
      <c r="G18" s="1107"/>
      <c r="H18" s="4"/>
      <c r="J18" s="17"/>
      <c r="K18" s="4"/>
    </row>
    <row r="19" spans="2:11" ht="24.75" thickBot="1">
      <c r="B19" s="1033"/>
      <c r="C19" s="857" t="s">
        <v>1605</v>
      </c>
      <c r="D19" s="845" t="s">
        <v>1857</v>
      </c>
      <c r="E19" s="853">
        <v>5</v>
      </c>
      <c r="F19" s="722">
        <v>0</v>
      </c>
      <c r="G19" s="96">
        <f t="shared" ref="G19:G24" si="0">+E19+F19</f>
        <v>5</v>
      </c>
      <c r="H19" s="4"/>
      <c r="J19" s="17"/>
      <c r="K19" s="4"/>
    </row>
    <row r="20" spans="2:11" ht="24.75" thickBot="1">
      <c r="B20" s="1033"/>
      <c r="C20" s="857" t="s">
        <v>1607</v>
      </c>
      <c r="D20" s="845" t="s">
        <v>1858</v>
      </c>
      <c r="E20" s="161">
        <v>7356</v>
      </c>
      <c r="F20" s="723">
        <v>0</v>
      </c>
      <c r="G20" s="96">
        <f t="shared" si="0"/>
        <v>7356</v>
      </c>
      <c r="H20" s="4"/>
      <c r="J20" s="17"/>
      <c r="K20" s="4"/>
    </row>
    <row r="21" spans="2:11" ht="36.75" thickBot="1">
      <c r="B21" s="1033"/>
      <c r="C21" s="857" t="s">
        <v>1610</v>
      </c>
      <c r="D21" s="845" t="s">
        <v>1859</v>
      </c>
      <c r="E21" s="161">
        <v>0</v>
      </c>
      <c r="F21" s="723">
        <v>0</v>
      </c>
      <c r="G21" s="96">
        <f t="shared" si="0"/>
        <v>0</v>
      </c>
      <c r="H21" s="4"/>
      <c r="J21" s="17"/>
      <c r="K21" s="4"/>
    </row>
    <row r="22" spans="2:11" ht="36.75" thickBot="1">
      <c r="B22" s="1033"/>
      <c r="C22" s="857" t="s">
        <v>1860</v>
      </c>
      <c r="D22" s="724" t="s">
        <v>1861</v>
      </c>
      <c r="E22" s="161">
        <v>1500</v>
      </c>
      <c r="F22" s="723">
        <v>0</v>
      </c>
      <c r="G22" s="96">
        <f t="shared" si="0"/>
        <v>1500</v>
      </c>
      <c r="H22" s="4"/>
      <c r="J22" s="17"/>
      <c r="K22" s="4"/>
    </row>
    <row r="23" spans="2:11" ht="48.75" thickBot="1">
      <c r="B23" s="1033"/>
      <c r="C23" s="857" t="s">
        <v>1715</v>
      </c>
      <c r="D23" s="845" t="s">
        <v>1862</v>
      </c>
      <c r="E23" s="853">
        <v>1</v>
      </c>
      <c r="F23" s="722">
        <v>0</v>
      </c>
      <c r="G23" s="96">
        <f t="shared" si="0"/>
        <v>1</v>
      </c>
      <c r="H23" s="4"/>
      <c r="J23" s="17"/>
      <c r="K23" s="4"/>
    </row>
    <row r="24" spans="2:11" ht="48.75" thickBot="1">
      <c r="B24" s="1033"/>
      <c r="C24" s="857" t="s">
        <v>1717</v>
      </c>
      <c r="D24" s="845" t="s">
        <v>1863</v>
      </c>
      <c r="E24" s="96">
        <f>+E21+E22</f>
        <v>1500</v>
      </c>
      <c r="F24" s="96">
        <f>+F21+F22</f>
        <v>0</v>
      </c>
      <c r="G24" s="96">
        <f t="shared" si="0"/>
        <v>1500</v>
      </c>
      <c r="H24" s="31"/>
      <c r="J24" s="17"/>
      <c r="K24" s="4"/>
    </row>
    <row r="25" spans="2:11" ht="24" customHeight="1">
      <c r="B25" s="1033"/>
      <c r="C25" s="68"/>
      <c r="D25" s="1104" t="s">
        <v>1864</v>
      </c>
      <c r="E25" s="1105"/>
      <c r="F25" s="1105"/>
      <c r="G25" s="1105"/>
      <c r="H25" s="1105"/>
      <c r="I25" s="1105"/>
      <c r="J25" s="17"/>
    </row>
    <row r="26" spans="2:11">
      <c r="B26" s="1033"/>
      <c r="C26" s="68"/>
      <c r="D26" s="725" t="s">
        <v>1865</v>
      </c>
      <c r="E26" s="2"/>
      <c r="F26" s="2"/>
      <c r="G26" s="2"/>
      <c r="H26" s="2"/>
      <c r="I26" s="2"/>
      <c r="J26" s="17"/>
    </row>
    <row r="27" spans="2:11" ht="15.75" thickBot="1">
      <c r="B27" s="1033"/>
      <c r="C27" s="68"/>
      <c r="D27" s="1015" t="s">
        <v>1866</v>
      </c>
      <c r="E27" s="1016"/>
      <c r="F27" s="1016"/>
      <c r="G27" s="1016"/>
      <c r="H27" s="1016"/>
      <c r="I27" s="1016"/>
      <c r="J27" s="1017"/>
    </row>
    <row r="28" spans="2:11" ht="15.75" thickBot="1">
      <c r="B28" s="1033"/>
      <c r="C28" s="890"/>
      <c r="D28" s="872" t="s">
        <v>1603</v>
      </c>
      <c r="E28" s="872" t="s">
        <v>1487</v>
      </c>
      <c r="F28" s="872" t="s">
        <v>1488</v>
      </c>
      <c r="G28" s="872" t="s">
        <v>1489</v>
      </c>
      <c r="H28" s="872" t="s">
        <v>1490</v>
      </c>
      <c r="I28" s="872" t="s">
        <v>1604</v>
      </c>
      <c r="J28" s="17"/>
    </row>
    <row r="29" spans="2:11" ht="15.75" thickBot="1">
      <c r="B29" s="1033"/>
      <c r="C29" s="890"/>
      <c r="D29" s="32" t="s">
        <v>1867</v>
      </c>
      <c r="E29" s="160">
        <v>0</v>
      </c>
      <c r="F29" s="160">
        <v>0</v>
      </c>
      <c r="G29" s="160">
        <v>0</v>
      </c>
      <c r="H29" s="160">
        <v>1</v>
      </c>
      <c r="I29" s="98">
        <f>SUM(E29:H29)</f>
        <v>1</v>
      </c>
      <c r="J29" s="17"/>
    </row>
    <row r="30" spans="2:11" ht="15.75" thickBot="1">
      <c r="B30" s="1033"/>
      <c r="C30" s="890"/>
      <c r="D30" s="32" t="s">
        <v>1868</v>
      </c>
      <c r="E30" s="160">
        <v>0</v>
      </c>
      <c r="F30" s="160">
        <v>0</v>
      </c>
      <c r="G30" s="160">
        <v>0</v>
      </c>
      <c r="H30" s="160">
        <v>0</v>
      </c>
      <c r="I30" s="726"/>
      <c r="J30" s="17"/>
    </row>
    <row r="31" spans="2:11" ht="15.75" thickBot="1">
      <c r="B31" s="1033"/>
      <c r="C31" s="890"/>
      <c r="D31" s="32" t="s">
        <v>1869</v>
      </c>
      <c r="E31" s="160">
        <v>0</v>
      </c>
      <c r="F31" s="160">
        <v>0</v>
      </c>
      <c r="G31" s="160">
        <v>0</v>
      </c>
      <c r="H31" s="160">
        <v>0</v>
      </c>
      <c r="I31" s="726"/>
      <c r="J31" s="17"/>
    </row>
    <row r="32" spans="2:11" ht="15.75" thickBot="1">
      <c r="B32" s="1033"/>
      <c r="C32" s="890"/>
      <c r="D32" s="32" t="s">
        <v>1870</v>
      </c>
      <c r="E32" s="160">
        <v>0</v>
      </c>
      <c r="F32" s="160">
        <v>0</v>
      </c>
      <c r="G32" s="160">
        <v>1</v>
      </c>
      <c r="H32" s="160">
        <v>0</v>
      </c>
      <c r="I32" s="726" t="s">
        <v>154</v>
      </c>
      <c r="J32" s="17"/>
    </row>
    <row r="33" spans="2:10" ht="15.75" thickBot="1">
      <c r="B33" s="1033"/>
      <c r="C33" s="890"/>
      <c r="D33" s="32" t="s">
        <v>1871</v>
      </c>
      <c r="E33" s="160">
        <v>0</v>
      </c>
      <c r="F33" s="160">
        <v>0</v>
      </c>
      <c r="G33" s="160">
        <v>0</v>
      </c>
      <c r="H33" s="160">
        <v>0</v>
      </c>
      <c r="I33" s="726"/>
      <c r="J33" s="17"/>
    </row>
    <row r="34" spans="2:10" ht="15.75" thickBot="1">
      <c r="B34" s="1033"/>
      <c r="C34" s="890"/>
      <c r="D34" s="32" t="s">
        <v>1872</v>
      </c>
      <c r="E34" s="222">
        <v>0</v>
      </c>
      <c r="F34" s="222">
        <v>0</v>
      </c>
      <c r="G34" s="222">
        <v>0</v>
      </c>
      <c r="H34" s="222">
        <v>1</v>
      </c>
      <c r="I34" s="726"/>
      <c r="J34" s="17"/>
    </row>
    <row r="35" spans="2:10" ht="15.75" thickBot="1">
      <c r="B35" s="1033"/>
      <c r="C35" s="890"/>
      <c r="D35" s="32" t="s">
        <v>1604</v>
      </c>
      <c r="E35" s="98">
        <f>SUM(E30:E34)</f>
        <v>0</v>
      </c>
      <c r="F35" s="98">
        <f>SUM(F30:F34)</f>
        <v>0</v>
      </c>
      <c r="G35" s="98">
        <f>SUM(G30:G34)</f>
        <v>1</v>
      </c>
      <c r="H35" s="98">
        <f>SUM(H30:H34)</f>
        <v>1</v>
      </c>
      <c r="I35" s="726"/>
      <c r="J35" s="17"/>
    </row>
    <row r="36" spans="2:10">
      <c r="B36" s="1033"/>
      <c r="C36" s="68"/>
      <c r="D36" s="1015" t="s">
        <v>1873</v>
      </c>
      <c r="E36" s="1016"/>
      <c r="F36" s="1016"/>
      <c r="G36" s="1016"/>
      <c r="H36" s="1016"/>
      <c r="I36" s="1016"/>
      <c r="J36" s="1017"/>
    </row>
    <row r="37" spans="2:10">
      <c r="B37" s="1033"/>
      <c r="C37" s="68"/>
      <c r="D37" s="1015" t="s">
        <v>1874</v>
      </c>
      <c r="E37" s="1016"/>
      <c r="F37" s="1016"/>
      <c r="G37" s="1016"/>
      <c r="H37" s="1016"/>
      <c r="I37" s="1016"/>
      <c r="J37" s="1017"/>
    </row>
    <row r="38" spans="2:10" ht="15.75" thickBot="1">
      <c r="B38" s="1033"/>
      <c r="C38" s="68"/>
      <c r="D38" s="1012" t="s">
        <v>1875</v>
      </c>
      <c r="E38" s="1013"/>
      <c r="F38" s="1013"/>
      <c r="G38" s="1013"/>
      <c r="H38" s="1013"/>
      <c r="I38" s="1013"/>
      <c r="J38" s="1014"/>
    </row>
    <row r="39" spans="2:10" ht="15.75" thickBot="1">
      <c r="B39" s="1033"/>
      <c r="C39" s="890"/>
      <c r="D39" s="872" t="s">
        <v>1603</v>
      </c>
      <c r="E39" s="872" t="s">
        <v>1487</v>
      </c>
      <c r="F39" s="872" t="s">
        <v>1488</v>
      </c>
      <c r="G39" s="872" t="s">
        <v>1489</v>
      </c>
      <c r="H39" s="872" t="s">
        <v>1490</v>
      </c>
      <c r="I39" s="872" t="s">
        <v>1604</v>
      </c>
      <c r="J39" s="17"/>
    </row>
    <row r="40" spans="2:10" ht="15.75" thickBot="1">
      <c r="B40" s="1033"/>
      <c r="C40" s="890"/>
      <c r="D40" s="32" t="s">
        <v>1867</v>
      </c>
      <c r="E40" s="161">
        <v>0</v>
      </c>
      <c r="F40" s="161">
        <v>0</v>
      </c>
      <c r="G40" s="161">
        <v>0</v>
      </c>
      <c r="H40" s="161">
        <v>1500</v>
      </c>
      <c r="I40" s="98">
        <f>SUM(E40:H40)</f>
        <v>1500</v>
      </c>
      <c r="J40" s="17"/>
    </row>
    <row r="41" spans="2:10" ht="15.75" thickBot="1">
      <c r="B41" s="1033"/>
      <c r="C41" s="890"/>
      <c r="D41" s="32" t="s">
        <v>1868</v>
      </c>
      <c r="E41" s="161">
        <v>0</v>
      </c>
      <c r="F41" s="161">
        <v>0</v>
      </c>
      <c r="G41" s="161">
        <v>0</v>
      </c>
      <c r="H41" s="161">
        <v>0</v>
      </c>
      <c r="I41" s="727"/>
      <c r="J41" s="17"/>
    </row>
    <row r="42" spans="2:10" ht="15.75" thickBot="1">
      <c r="B42" s="1033"/>
      <c r="C42" s="890"/>
      <c r="D42" s="32" t="s">
        <v>1869</v>
      </c>
      <c r="E42" s="161">
        <v>0</v>
      </c>
      <c r="F42" s="161">
        <v>0</v>
      </c>
      <c r="G42" s="161">
        <v>0</v>
      </c>
      <c r="H42" s="161">
        <v>0</v>
      </c>
      <c r="I42" s="727"/>
      <c r="J42" s="17"/>
    </row>
    <row r="43" spans="2:10" ht="15.75" thickBot="1">
      <c r="B43" s="1033"/>
      <c r="C43" s="890"/>
      <c r="D43" s="32" t="s">
        <v>1870</v>
      </c>
      <c r="E43" s="161">
        <v>0</v>
      </c>
      <c r="F43" s="161">
        <v>0</v>
      </c>
      <c r="G43" s="161">
        <v>1500</v>
      </c>
      <c r="H43" s="161">
        <v>0</v>
      </c>
      <c r="I43" s="727"/>
      <c r="J43" s="17"/>
    </row>
    <row r="44" spans="2:10" ht="15.75" thickBot="1">
      <c r="B44" s="1033"/>
      <c r="C44" s="890"/>
      <c r="D44" s="32" t="s">
        <v>1871</v>
      </c>
      <c r="E44" s="161">
        <v>0</v>
      </c>
      <c r="F44" s="161">
        <v>0</v>
      </c>
      <c r="G44" s="161">
        <v>0</v>
      </c>
      <c r="H44" s="161">
        <v>0</v>
      </c>
      <c r="I44" s="727"/>
      <c r="J44" s="17"/>
    </row>
    <row r="45" spans="2:10" ht="15.75" thickBot="1">
      <c r="B45" s="1033"/>
      <c r="C45" s="890"/>
      <c r="D45" s="32" t="s">
        <v>1872</v>
      </c>
      <c r="E45" s="161">
        <v>0</v>
      </c>
      <c r="F45" s="161">
        <v>0</v>
      </c>
      <c r="G45" s="161">
        <v>0</v>
      </c>
      <c r="H45" s="161">
        <v>1500</v>
      </c>
      <c r="I45" s="727"/>
      <c r="J45" s="17"/>
    </row>
    <row r="46" spans="2:10" ht="15.75" thickBot="1">
      <c r="B46" s="1033"/>
      <c r="C46" s="890"/>
      <c r="D46" s="32" t="s">
        <v>1604</v>
      </c>
      <c r="E46" s="98">
        <f>SUM(E41:E45)</f>
        <v>0</v>
      </c>
      <c r="F46" s="98">
        <f>SUM(F41:F45)</f>
        <v>0</v>
      </c>
      <c r="G46" s="98">
        <f>SUM(G41:G45)</f>
        <v>1500</v>
      </c>
      <c r="H46" s="98">
        <f>SUM(H41:H45)</f>
        <v>1500</v>
      </c>
      <c r="I46" s="727"/>
      <c r="J46" s="17"/>
    </row>
    <row r="47" spans="2:10">
      <c r="B47" s="1033"/>
      <c r="C47" s="68"/>
      <c r="D47" s="1015" t="s">
        <v>1876</v>
      </c>
      <c r="E47" s="1016"/>
      <c r="F47" s="1016"/>
      <c r="G47" s="1016"/>
      <c r="H47" s="1016"/>
      <c r="I47" s="1016"/>
      <c r="J47" s="1017"/>
    </row>
    <row r="48" spans="2:10">
      <c r="B48" s="1033"/>
      <c r="C48" s="68"/>
      <c r="D48" s="1015" t="s">
        <v>1877</v>
      </c>
      <c r="E48" s="1016"/>
      <c r="F48" s="1016"/>
      <c r="G48" s="1016"/>
      <c r="H48" s="1016"/>
      <c r="I48" s="1016"/>
      <c r="J48" s="1017"/>
    </row>
    <row r="49" spans="2:10">
      <c r="B49" s="1033"/>
      <c r="C49" s="68"/>
      <c r="D49" s="1012" t="s">
        <v>1878</v>
      </c>
      <c r="E49" s="1013"/>
      <c r="F49" s="1013"/>
      <c r="G49" s="1013"/>
      <c r="H49" s="1013"/>
      <c r="I49" s="1013"/>
      <c r="J49" s="1014"/>
    </row>
    <row r="50" spans="2:10" ht="15.75" thickBot="1">
      <c r="B50" s="1033"/>
      <c r="C50" s="68"/>
      <c r="D50" s="1015" t="s">
        <v>1866</v>
      </c>
      <c r="E50" s="1016"/>
      <c r="F50" s="1016"/>
      <c r="G50" s="1016"/>
      <c r="H50" s="1016"/>
      <c r="I50" s="1016"/>
      <c r="J50" s="1017"/>
    </row>
    <row r="51" spans="2:10" ht="15.75" thickBot="1">
      <c r="B51" s="1033"/>
      <c r="C51" s="890"/>
      <c r="D51" s="872" t="s">
        <v>1603</v>
      </c>
      <c r="E51" s="872" t="s">
        <v>1487</v>
      </c>
      <c r="F51" s="872" t="s">
        <v>1488</v>
      </c>
      <c r="G51" s="872" t="s">
        <v>1489</v>
      </c>
      <c r="H51" s="872" t="s">
        <v>1490</v>
      </c>
      <c r="I51" s="872" t="s">
        <v>1604</v>
      </c>
      <c r="J51" s="17"/>
    </row>
    <row r="52" spans="2:10" ht="15.75" thickBot="1">
      <c r="B52" s="1033"/>
      <c r="C52" s="890"/>
      <c r="D52" s="32" t="s">
        <v>1867</v>
      </c>
      <c r="E52" s="5">
        <v>0</v>
      </c>
      <c r="F52" s="5">
        <v>0</v>
      </c>
      <c r="G52" s="5">
        <v>0</v>
      </c>
      <c r="H52" s="5">
        <v>0</v>
      </c>
      <c r="I52" s="34">
        <f>SUM(E52:H52)</f>
        <v>0</v>
      </c>
      <c r="J52" s="17"/>
    </row>
    <row r="53" spans="2:10" ht="15.75" thickBot="1">
      <c r="B53" s="1033"/>
      <c r="C53" s="890"/>
      <c r="D53" s="32" t="s">
        <v>1868</v>
      </c>
      <c r="E53" s="5">
        <v>0</v>
      </c>
      <c r="F53" s="5">
        <v>0</v>
      </c>
      <c r="G53" s="5">
        <v>0</v>
      </c>
      <c r="H53" s="5">
        <v>0</v>
      </c>
      <c r="I53" s="728"/>
      <c r="J53" s="17"/>
    </row>
    <row r="54" spans="2:10" ht="15.75" thickBot="1">
      <c r="B54" s="1033"/>
      <c r="C54" s="890"/>
      <c r="D54" s="32" t="s">
        <v>1869</v>
      </c>
      <c r="E54" s="5">
        <v>0</v>
      </c>
      <c r="F54" s="5">
        <v>0</v>
      </c>
      <c r="G54" s="5">
        <v>0</v>
      </c>
      <c r="H54" s="5">
        <v>0</v>
      </c>
      <c r="I54" s="728"/>
      <c r="J54" s="17"/>
    </row>
    <row r="55" spans="2:10" ht="15.75" thickBot="1">
      <c r="B55" s="1033"/>
      <c r="C55" s="890"/>
      <c r="D55" s="32" t="s">
        <v>1870</v>
      </c>
      <c r="E55" s="5">
        <v>0</v>
      </c>
      <c r="F55" s="5">
        <v>0</v>
      </c>
      <c r="G55" s="5">
        <v>0</v>
      </c>
      <c r="H55" s="5">
        <v>0</v>
      </c>
      <c r="I55" s="728"/>
      <c r="J55" s="17"/>
    </row>
    <row r="56" spans="2:10" ht="15.75" thickBot="1">
      <c r="B56" s="1033"/>
      <c r="C56" s="890"/>
      <c r="D56" s="32" t="s">
        <v>1871</v>
      </c>
      <c r="E56" s="5">
        <v>0</v>
      </c>
      <c r="F56" s="5">
        <v>0</v>
      </c>
      <c r="G56" s="5">
        <v>0</v>
      </c>
      <c r="H56" s="5">
        <v>0</v>
      </c>
      <c r="I56" s="728"/>
      <c r="J56" s="17"/>
    </row>
    <row r="57" spans="2:10" ht="15.75" thickBot="1">
      <c r="B57" s="1033"/>
      <c r="C57" s="890"/>
      <c r="D57" s="32" t="s">
        <v>1872</v>
      </c>
      <c r="E57" s="223">
        <v>0</v>
      </c>
      <c r="F57" s="223">
        <v>0</v>
      </c>
      <c r="G57" s="223">
        <v>0</v>
      </c>
      <c r="H57" s="223">
        <v>0</v>
      </c>
      <c r="I57" s="728"/>
      <c r="J57" s="17"/>
    </row>
    <row r="58" spans="2:10" ht="15.75" thickBot="1">
      <c r="B58" s="1033"/>
      <c r="C58" s="890"/>
      <c r="D58" s="32" t="s">
        <v>1604</v>
      </c>
      <c r="E58" s="98">
        <f>SUM(E53:E57)</f>
        <v>0</v>
      </c>
      <c r="F58" s="98">
        <f>SUM(F53:F57)</f>
        <v>0</v>
      </c>
      <c r="G58" s="98">
        <f>SUM(G53:G57)</f>
        <v>0</v>
      </c>
      <c r="H58" s="98">
        <f>SUM(H53:H57)</f>
        <v>0</v>
      </c>
      <c r="I58" s="728"/>
      <c r="J58" s="17"/>
    </row>
    <row r="59" spans="2:10">
      <c r="B59" s="1033"/>
      <c r="C59" s="68"/>
      <c r="D59" s="1015" t="s">
        <v>1873</v>
      </c>
      <c r="E59" s="1016"/>
      <c r="F59" s="1016"/>
      <c r="G59" s="1016"/>
      <c r="H59" s="1016"/>
      <c r="I59" s="1016"/>
      <c r="J59" s="1017"/>
    </row>
    <row r="60" spans="2:10">
      <c r="B60" s="1033"/>
      <c r="C60" s="68"/>
      <c r="D60" s="1015" t="s">
        <v>1874</v>
      </c>
      <c r="E60" s="1016"/>
      <c r="F60" s="1016"/>
      <c r="G60" s="1016"/>
      <c r="H60" s="1016"/>
      <c r="I60" s="1016"/>
      <c r="J60" s="1017"/>
    </row>
    <row r="61" spans="2:10" ht="15.75" thickBot="1">
      <c r="B61" s="1033"/>
      <c r="C61" s="68"/>
      <c r="D61" s="1012" t="s">
        <v>1875</v>
      </c>
      <c r="E61" s="1013"/>
      <c r="F61" s="1013"/>
      <c r="G61" s="1013"/>
      <c r="H61" s="1013"/>
      <c r="I61" s="1013"/>
      <c r="J61" s="1014"/>
    </row>
    <row r="62" spans="2:10" ht="15.75" thickBot="1">
      <c r="B62" s="1033"/>
      <c r="C62" s="890"/>
      <c r="D62" s="872" t="s">
        <v>1603</v>
      </c>
      <c r="E62" s="872" t="s">
        <v>1487</v>
      </c>
      <c r="F62" s="872" t="s">
        <v>1488</v>
      </c>
      <c r="G62" s="872" t="s">
        <v>1489</v>
      </c>
      <c r="H62" s="872" t="s">
        <v>1490</v>
      </c>
      <c r="I62" s="872" t="s">
        <v>1604</v>
      </c>
      <c r="J62" s="17"/>
    </row>
    <row r="63" spans="2:10" ht="15.75" thickBot="1">
      <c r="B63" s="1033"/>
      <c r="C63" s="890"/>
      <c r="D63" s="32" t="s">
        <v>1867</v>
      </c>
      <c r="E63" s="144">
        <v>0</v>
      </c>
      <c r="F63" s="144">
        <v>0</v>
      </c>
      <c r="G63" s="144">
        <v>0</v>
      </c>
      <c r="H63" s="144">
        <v>0</v>
      </c>
      <c r="I63" s="98">
        <f>SUM(E63:H63)</f>
        <v>0</v>
      </c>
      <c r="J63" s="17"/>
    </row>
    <row r="64" spans="2:10" ht="15.75" thickBot="1">
      <c r="B64" s="1033"/>
      <c r="C64" s="890"/>
      <c r="D64" s="32" t="s">
        <v>1868</v>
      </c>
      <c r="E64" s="144">
        <v>0</v>
      </c>
      <c r="F64" s="144">
        <v>0</v>
      </c>
      <c r="G64" s="144">
        <v>0</v>
      </c>
      <c r="H64" s="144">
        <v>0</v>
      </c>
      <c r="I64" s="728"/>
      <c r="J64" s="17"/>
    </row>
    <row r="65" spans="2:11" ht="15.75" thickBot="1">
      <c r="B65" s="1033"/>
      <c r="C65" s="890"/>
      <c r="D65" s="32" t="s">
        <v>1869</v>
      </c>
      <c r="E65" s="144">
        <v>0</v>
      </c>
      <c r="F65" s="144">
        <v>0</v>
      </c>
      <c r="G65" s="144">
        <v>0</v>
      </c>
      <c r="H65" s="144">
        <v>0</v>
      </c>
      <c r="I65" s="728"/>
      <c r="J65" s="17"/>
    </row>
    <row r="66" spans="2:11" ht="15.75" thickBot="1">
      <c r="B66" s="1033"/>
      <c r="C66" s="890"/>
      <c r="D66" s="32" t="s">
        <v>1870</v>
      </c>
      <c r="E66" s="144">
        <v>0</v>
      </c>
      <c r="F66" s="144">
        <v>0</v>
      </c>
      <c r="G66" s="144">
        <v>0</v>
      </c>
      <c r="H66" s="144">
        <v>0</v>
      </c>
      <c r="I66" s="728"/>
      <c r="J66" s="17"/>
    </row>
    <row r="67" spans="2:11" ht="15.75" thickBot="1">
      <c r="B67" s="1033"/>
      <c r="C67" s="890"/>
      <c r="D67" s="32" t="s">
        <v>1871</v>
      </c>
      <c r="E67" s="144">
        <v>0</v>
      </c>
      <c r="F67" s="144">
        <v>0</v>
      </c>
      <c r="G67" s="144">
        <v>0</v>
      </c>
      <c r="H67" s="144">
        <v>0</v>
      </c>
      <c r="I67" s="728"/>
      <c r="J67" s="17"/>
    </row>
    <row r="68" spans="2:11" ht="15.75" thickBot="1">
      <c r="B68" s="1033"/>
      <c r="C68" s="890"/>
      <c r="D68" s="32" t="s">
        <v>1879</v>
      </c>
      <c r="E68" s="144">
        <v>0</v>
      </c>
      <c r="F68" s="144">
        <v>0</v>
      </c>
      <c r="G68" s="144">
        <v>0</v>
      </c>
      <c r="H68" s="144">
        <v>0</v>
      </c>
      <c r="I68" s="728"/>
      <c r="J68" s="17"/>
    </row>
    <row r="69" spans="2:11" ht="15.75" thickBot="1">
      <c r="B69" s="1033"/>
      <c r="C69" s="890"/>
      <c r="D69" s="32" t="s">
        <v>1604</v>
      </c>
      <c r="E69" s="98">
        <f>SUM(E64:E68)</f>
        <v>0</v>
      </c>
      <c r="F69" s="98">
        <f>SUM(F64:F68)</f>
        <v>0</v>
      </c>
      <c r="G69" s="98">
        <f>SUM(G64:G68)</f>
        <v>0</v>
      </c>
      <c r="H69" s="98">
        <f>SUM(H64:H68)</f>
        <v>0</v>
      </c>
      <c r="I69" s="728"/>
      <c r="J69" s="17"/>
    </row>
    <row r="70" spans="2:11">
      <c r="B70" s="1033"/>
      <c r="C70" s="68"/>
      <c r="D70" s="1015" t="s">
        <v>1876</v>
      </c>
      <c r="E70" s="1016"/>
      <c r="F70" s="1016"/>
      <c r="G70" s="1016"/>
      <c r="H70" s="1016"/>
      <c r="I70" s="1016"/>
      <c r="J70" s="1017"/>
    </row>
    <row r="71" spans="2:11">
      <c r="B71" s="1033"/>
      <c r="C71" s="68"/>
      <c r="D71" s="1015" t="s">
        <v>1877</v>
      </c>
      <c r="E71" s="1016"/>
      <c r="F71" s="1016"/>
      <c r="G71" s="1016"/>
      <c r="H71" s="1016"/>
      <c r="I71" s="1016"/>
      <c r="J71" s="1017"/>
    </row>
    <row r="72" spans="2:11" ht="15.75" thickBot="1">
      <c r="B72" s="1033"/>
      <c r="C72" s="68"/>
      <c r="D72" s="1006" t="s">
        <v>1880</v>
      </c>
      <c r="E72" s="1007"/>
      <c r="F72" s="1007"/>
      <c r="G72" s="1007"/>
      <c r="H72" s="1007"/>
      <c r="I72" s="1007"/>
      <c r="J72" s="1008"/>
    </row>
    <row r="73" spans="2:11" ht="33" customHeight="1">
      <c r="B73" s="1033"/>
      <c r="C73" s="890"/>
      <c r="D73" s="1011" t="s">
        <v>1881</v>
      </c>
      <c r="E73" s="1032" t="s">
        <v>1882</v>
      </c>
      <c r="F73" s="1032" t="s">
        <v>1883</v>
      </c>
      <c r="G73" s="1032" t="s">
        <v>1884</v>
      </c>
      <c r="H73" s="1032" t="s">
        <v>1885</v>
      </c>
      <c r="I73" s="1032" t="s">
        <v>1886</v>
      </c>
      <c r="J73" s="835" t="s">
        <v>1887</v>
      </c>
      <c r="K73" s="4"/>
    </row>
    <row r="74" spans="2:11" ht="24.75" thickBot="1">
      <c r="B74" s="1033"/>
      <c r="C74" s="890"/>
      <c r="D74" s="1046"/>
      <c r="E74" s="1034"/>
      <c r="F74" s="1034"/>
      <c r="G74" s="1034"/>
      <c r="H74" s="1034"/>
      <c r="I74" s="1034"/>
      <c r="J74" s="845" t="s">
        <v>1888</v>
      </c>
      <c r="K74" s="4"/>
    </row>
    <row r="75" spans="2:11" ht="15.75" thickBot="1">
      <c r="B75" s="1033"/>
      <c r="C75" s="890"/>
      <c r="D75" s="24"/>
      <c r="E75" s="24"/>
      <c r="F75" s="24"/>
      <c r="G75" s="144"/>
      <c r="H75" s="144"/>
      <c r="I75" s="24"/>
      <c r="J75" s="24"/>
      <c r="K75" s="4"/>
    </row>
    <row r="76" spans="2:11" ht="15.75" thickBot="1">
      <c r="B76" s="1033"/>
      <c r="C76" s="890"/>
      <c r="D76" s="24"/>
      <c r="E76" s="24"/>
      <c r="F76" s="24"/>
      <c r="G76" s="144"/>
      <c r="H76" s="144"/>
      <c r="I76" s="24"/>
      <c r="J76" s="24"/>
      <c r="K76" s="4"/>
    </row>
    <row r="77" spans="2:11" ht="15.75" thickBot="1">
      <c r="B77" s="1033"/>
      <c r="C77" s="890"/>
      <c r="D77" s="24"/>
      <c r="E77" s="24"/>
      <c r="F77" s="24"/>
      <c r="G77" s="144"/>
      <c r="H77" s="144"/>
      <c r="I77" s="24"/>
      <c r="J77" s="24"/>
      <c r="K77" s="4"/>
    </row>
    <row r="78" spans="2:11" ht="15.75" thickBot="1">
      <c r="B78" s="1033"/>
      <c r="C78" s="890"/>
      <c r="D78" s="24"/>
      <c r="E78" s="24"/>
      <c r="F78" s="24"/>
      <c r="G78" s="144"/>
      <c r="H78" s="144"/>
      <c r="I78" s="24"/>
      <c r="J78" s="24"/>
      <c r="K78" s="4"/>
    </row>
    <row r="79" spans="2:11" ht="15.75" thickBot="1">
      <c r="B79" s="1033"/>
      <c r="C79" s="890"/>
      <c r="D79" s="24"/>
      <c r="E79" s="24"/>
      <c r="F79" s="24"/>
      <c r="G79" s="144"/>
      <c r="H79" s="144"/>
      <c r="I79" s="24"/>
      <c r="J79" s="24"/>
      <c r="K79" s="4"/>
    </row>
    <row r="80" spans="2:11" ht="15.75" thickBot="1">
      <c r="B80" s="1033"/>
      <c r="C80" s="890"/>
      <c r="D80" s="24"/>
      <c r="E80" s="24"/>
      <c r="F80" s="24"/>
      <c r="G80" s="144"/>
      <c r="H80" s="144"/>
      <c r="I80" s="24"/>
      <c r="J80" s="24"/>
      <c r="K80" s="4"/>
    </row>
    <row r="81" spans="2:11" ht="15.75" thickBot="1">
      <c r="B81" s="1033"/>
      <c r="C81" s="890"/>
      <c r="D81" s="24"/>
      <c r="E81" s="24"/>
      <c r="F81" s="24"/>
      <c r="G81" s="144"/>
      <c r="H81" s="144"/>
      <c r="I81" s="24"/>
      <c r="J81" s="24"/>
      <c r="K81" s="4"/>
    </row>
    <row r="82" spans="2:11" ht="15.75" thickBot="1">
      <c r="B82" s="1033"/>
      <c r="C82" s="890"/>
      <c r="D82" s="24"/>
      <c r="E82" s="24"/>
      <c r="F82" s="24"/>
      <c r="G82" s="144"/>
      <c r="H82" s="144"/>
      <c r="I82" s="24"/>
      <c r="J82" s="24"/>
      <c r="K82" s="4"/>
    </row>
    <row r="83" spans="2:11" ht="15.75" thickBot="1">
      <c r="B83" s="1033"/>
      <c r="C83" s="890"/>
      <c r="D83" s="24"/>
      <c r="E83" s="24"/>
      <c r="F83" s="24"/>
      <c r="G83" s="144"/>
      <c r="H83" s="144"/>
      <c r="I83" s="24"/>
      <c r="J83" s="24"/>
      <c r="K83" s="4"/>
    </row>
    <row r="84" spans="2:11" ht="15.75" thickBot="1">
      <c r="B84" s="1033"/>
      <c r="C84" s="890"/>
      <c r="D84" s="24"/>
      <c r="E84" s="24"/>
      <c r="F84" s="24"/>
      <c r="G84" s="144"/>
      <c r="H84" s="144"/>
      <c r="I84" s="24"/>
      <c r="J84" s="24"/>
      <c r="K84" s="4"/>
    </row>
    <row r="85" spans="2:11" ht="15.75" thickBot="1">
      <c r="B85" s="1033"/>
      <c r="C85" s="890"/>
      <c r="D85" s="24"/>
      <c r="E85" s="24"/>
      <c r="F85" s="24"/>
      <c r="G85" s="144"/>
      <c r="H85" s="144"/>
      <c r="I85" s="24"/>
      <c r="J85" s="24"/>
      <c r="K85" s="4"/>
    </row>
    <row r="86" spans="2:11" ht="15.75" thickBot="1">
      <c r="B86" s="1033"/>
      <c r="C86" s="890"/>
      <c r="D86" s="24"/>
      <c r="E86" s="24"/>
      <c r="F86" s="24"/>
      <c r="G86" s="144"/>
      <c r="H86" s="144"/>
      <c r="I86" s="24"/>
      <c r="J86" s="24"/>
      <c r="K86" s="4"/>
    </row>
    <row r="87" spans="2:11" ht="15.75" thickBot="1">
      <c r="B87" s="1033"/>
      <c r="C87" s="890"/>
      <c r="D87" s="24"/>
      <c r="E87" s="24"/>
      <c r="F87" s="24"/>
      <c r="G87" s="144"/>
      <c r="H87" s="144"/>
      <c r="I87" s="24"/>
      <c r="J87" s="24"/>
      <c r="K87" s="4"/>
    </row>
    <row r="88" spans="2:11" ht="15.75" thickBot="1">
      <c r="B88" s="1033"/>
      <c r="C88" s="890"/>
      <c r="D88" s="24"/>
      <c r="E88" s="24"/>
      <c r="F88" s="24"/>
      <c r="G88" s="144"/>
      <c r="H88" s="144"/>
      <c r="I88" s="24"/>
      <c r="J88" s="24"/>
      <c r="K88" s="4"/>
    </row>
    <row r="89" spans="2:11">
      <c r="B89" s="1033"/>
      <c r="C89" s="68"/>
      <c r="D89" s="1009" t="s">
        <v>1889</v>
      </c>
      <c r="E89" s="1010"/>
      <c r="F89" s="1010"/>
      <c r="G89" s="1010"/>
      <c r="H89" s="1010"/>
      <c r="I89" s="1010"/>
      <c r="J89" s="1011"/>
      <c r="K89" s="4"/>
    </row>
    <row r="90" spans="2:11" ht="15.75" thickBot="1">
      <c r="B90" s="1033"/>
      <c r="C90" s="68"/>
      <c r="D90" s="1044" t="s">
        <v>1890</v>
      </c>
      <c r="E90" s="1045"/>
      <c r="F90" s="1045"/>
      <c r="G90" s="1045"/>
      <c r="H90" s="1045"/>
      <c r="I90" s="1045"/>
      <c r="J90" s="1046"/>
      <c r="K90" s="4"/>
    </row>
    <row r="91" spans="2:11">
      <c r="B91" s="1033"/>
      <c r="C91" s="68"/>
      <c r="D91" s="827"/>
      <c r="E91" s="828"/>
      <c r="F91" s="828"/>
      <c r="G91" s="828"/>
      <c r="H91" s="828"/>
      <c r="I91" s="828"/>
      <c r="J91" s="829"/>
      <c r="K91" s="4"/>
    </row>
    <row r="92" spans="2:11" ht="15.75" thickBot="1">
      <c r="B92" s="1033"/>
      <c r="C92" s="68"/>
      <c r="D92" s="827" t="s">
        <v>1891</v>
      </c>
      <c r="E92" s="828"/>
      <c r="F92" s="828"/>
      <c r="G92" s="828"/>
      <c r="H92" s="828"/>
      <c r="I92" s="828"/>
      <c r="J92" s="829"/>
      <c r="K92" s="4"/>
    </row>
    <row r="93" spans="2:11">
      <c r="B93" s="1033"/>
      <c r="C93" s="68"/>
      <c r="D93" s="729" t="s">
        <v>1603</v>
      </c>
      <c r="E93" s="730" t="s">
        <v>1487</v>
      </c>
      <c r="F93" s="730" t="s">
        <v>1488</v>
      </c>
      <c r="G93" s="730" t="s">
        <v>1489</v>
      </c>
      <c r="H93" s="730" t="s">
        <v>1490</v>
      </c>
      <c r="I93" s="731" t="s">
        <v>1604</v>
      </c>
      <c r="J93" s="829"/>
      <c r="K93" s="4"/>
    </row>
    <row r="94" spans="2:11">
      <c r="B94" s="1033"/>
      <c r="C94" s="68"/>
      <c r="D94" s="732" t="s">
        <v>1892</v>
      </c>
      <c r="E94" s="733">
        <f>+E63+E40</f>
        <v>0</v>
      </c>
      <c r="F94" s="733">
        <f>+F63+F40</f>
        <v>0</v>
      </c>
      <c r="G94" s="733">
        <f>+G63+G40</f>
        <v>0</v>
      </c>
      <c r="H94" s="733">
        <f>+H63+H40</f>
        <v>1500</v>
      </c>
      <c r="I94" s="734">
        <f>SUM(E94:H94)</f>
        <v>1500</v>
      </c>
      <c r="J94" s="829"/>
      <c r="K94" s="4"/>
    </row>
    <row r="95" spans="2:11" ht="36">
      <c r="B95" s="1033"/>
      <c r="C95" s="68"/>
      <c r="D95" s="735" t="s">
        <v>1893</v>
      </c>
      <c r="E95" s="733">
        <f>+E68+E45</f>
        <v>0</v>
      </c>
      <c r="F95" s="733">
        <f>+F68+F45</f>
        <v>0</v>
      </c>
      <c r="G95" s="733">
        <f>+G68+G45</f>
        <v>0</v>
      </c>
      <c r="H95" s="733">
        <f>+H68+H45</f>
        <v>1500</v>
      </c>
      <c r="I95" s="734">
        <f>SUM(E95:H95)</f>
        <v>1500</v>
      </c>
      <c r="J95" s="829"/>
      <c r="K95" s="4"/>
    </row>
    <row r="96" spans="2:11" ht="48.75" thickBot="1">
      <c r="B96" s="1033"/>
      <c r="C96" s="68"/>
      <c r="D96" s="735" t="s">
        <v>743</v>
      </c>
      <c r="E96" s="224" t="str">
        <f>IFERROR(E95/E94,"N.A.")</f>
        <v>N.A.</v>
      </c>
      <c r="F96" s="224" t="str">
        <f>IFERROR(F95/F94,"N.A.")</f>
        <v>N.A.</v>
      </c>
      <c r="G96" s="224" t="str">
        <f>IFERROR(G95/G94,"N.A.")</f>
        <v>N.A.</v>
      </c>
      <c r="H96" s="224">
        <f>IFERROR(H95/H94,"N.A.")</f>
        <v>1</v>
      </c>
      <c r="I96" s="224">
        <f>IFERROR(I95/I94,"N.A.")</f>
        <v>1</v>
      </c>
      <c r="J96" s="829"/>
      <c r="K96" s="4"/>
    </row>
    <row r="97" spans="2:11" ht="24" customHeight="1" thickBot="1">
      <c r="B97" s="1034"/>
      <c r="C97" s="69"/>
      <c r="J97" s="829"/>
      <c r="K97" s="4"/>
    </row>
    <row r="98" spans="2:11" ht="24" customHeight="1" thickBot="1">
      <c r="B98" s="839" t="s">
        <v>1504</v>
      </c>
      <c r="C98" s="69"/>
      <c r="D98" s="1041" t="s">
        <v>1894</v>
      </c>
      <c r="E98" s="1042"/>
      <c r="F98" s="1042"/>
      <c r="G98" s="1042"/>
      <c r="H98" s="1042"/>
      <c r="I98" s="1042"/>
      <c r="J98" s="1043"/>
      <c r="K98" s="4"/>
    </row>
    <row r="99" spans="2:11" ht="24" customHeight="1">
      <c r="B99" s="1032" t="s">
        <v>1506</v>
      </c>
      <c r="C99" s="65"/>
      <c r="D99" s="1009" t="s">
        <v>1831</v>
      </c>
      <c r="E99" s="1010"/>
      <c r="F99" s="1010"/>
      <c r="G99" s="1010"/>
      <c r="H99" s="1010"/>
      <c r="I99" s="1010"/>
      <c r="J99" s="1011"/>
      <c r="K99" s="4"/>
    </row>
    <row r="100" spans="2:11" ht="48" customHeight="1">
      <c r="B100" s="1033"/>
      <c r="C100" s="68"/>
      <c r="D100" s="1015" t="s">
        <v>1895</v>
      </c>
      <c r="E100" s="1016"/>
      <c r="F100" s="1016"/>
      <c r="G100" s="1016"/>
      <c r="H100" s="1016"/>
      <c r="I100" s="1016"/>
      <c r="J100" s="1017"/>
      <c r="K100" s="4"/>
    </row>
    <row r="101" spans="2:11" ht="60" customHeight="1" thickBot="1">
      <c r="B101" s="1034"/>
      <c r="C101" s="69"/>
      <c r="D101" s="1044" t="s">
        <v>1896</v>
      </c>
      <c r="E101" s="1045"/>
      <c r="F101" s="1045"/>
      <c r="G101" s="1045"/>
      <c r="H101" s="1045"/>
      <c r="I101" s="1045"/>
      <c r="J101" s="1046"/>
      <c r="K101" s="4"/>
    </row>
    <row r="102" spans="2:11" ht="15.75" thickBot="1">
      <c r="B102" s="1"/>
      <c r="C102" s="55"/>
      <c r="D102" s="4"/>
      <c r="E102" s="4"/>
      <c r="F102" s="4"/>
      <c r="G102" s="4"/>
      <c r="H102" s="4"/>
      <c r="I102" s="4"/>
      <c r="J102" s="4"/>
      <c r="K102" s="4"/>
    </row>
    <row r="103" spans="2:11" ht="24" customHeight="1" thickBot="1">
      <c r="B103" s="1029" t="s">
        <v>1508</v>
      </c>
      <c r="C103" s="1030"/>
      <c r="D103" s="1030"/>
      <c r="E103" s="1031"/>
      <c r="F103" s="4"/>
      <c r="G103" s="4"/>
      <c r="H103" s="4"/>
      <c r="I103" s="4"/>
      <c r="J103" s="4"/>
      <c r="K103" s="4"/>
    </row>
    <row r="104" spans="2:11" ht="15.75" thickBot="1">
      <c r="B104" s="1032">
        <v>1</v>
      </c>
      <c r="C104" s="890"/>
      <c r="D104" s="37" t="s">
        <v>1509</v>
      </c>
      <c r="E104" s="25" t="s">
        <v>1510</v>
      </c>
      <c r="F104" s="4"/>
      <c r="G104" s="4"/>
      <c r="H104" s="4"/>
      <c r="I104" s="4"/>
      <c r="J104" s="4"/>
      <c r="K104" s="4"/>
    </row>
    <row r="105" spans="2:11" ht="36.75" thickBot="1">
      <c r="B105" s="1033"/>
      <c r="C105" s="890"/>
      <c r="D105" s="845" t="s">
        <v>10</v>
      </c>
      <c r="E105" s="24" t="s">
        <v>1897</v>
      </c>
      <c r="F105" s="4"/>
      <c r="G105" s="4"/>
      <c r="H105" s="4"/>
      <c r="I105" s="4"/>
      <c r="J105" s="4"/>
      <c r="K105" s="4"/>
    </row>
    <row r="106" spans="2:11" ht="24.75" thickBot="1">
      <c r="B106" s="1033"/>
      <c r="C106" s="890"/>
      <c r="D106" s="845" t="s">
        <v>1512</v>
      </c>
      <c r="E106" s="24" t="s">
        <v>1691</v>
      </c>
      <c r="F106" s="4"/>
      <c r="G106" s="4"/>
      <c r="H106" s="4"/>
      <c r="I106" s="4"/>
      <c r="J106" s="4"/>
      <c r="K106" s="4"/>
    </row>
    <row r="107" spans="2:11" ht="15.75" thickBot="1">
      <c r="B107" s="1033"/>
      <c r="C107" s="890"/>
      <c r="D107" s="845" t="s">
        <v>13</v>
      </c>
      <c r="E107" s="24" t="s">
        <v>1514</v>
      </c>
      <c r="F107" s="4"/>
      <c r="G107" s="4"/>
      <c r="H107" s="4"/>
      <c r="I107" s="4"/>
      <c r="J107" s="4"/>
      <c r="K107" s="4"/>
    </row>
    <row r="108" spans="2:11" ht="45.75" thickBot="1">
      <c r="B108" s="1033"/>
      <c r="C108" s="890"/>
      <c r="D108" s="845" t="s">
        <v>16</v>
      </c>
      <c r="E108" s="704" t="s">
        <v>1646</v>
      </c>
      <c r="F108" s="4"/>
      <c r="G108" s="4"/>
      <c r="H108" s="4"/>
      <c r="I108" s="4"/>
      <c r="J108" s="4"/>
      <c r="K108" s="4"/>
    </row>
    <row r="109" spans="2:11" ht="24.75" thickBot="1">
      <c r="B109" s="1033"/>
      <c r="C109" s="890"/>
      <c r="D109" s="845" t="s">
        <v>19</v>
      </c>
      <c r="E109" s="24" t="s">
        <v>1647</v>
      </c>
      <c r="F109" s="4"/>
      <c r="G109" s="4"/>
      <c r="H109" s="4"/>
      <c r="I109" s="4"/>
      <c r="J109" s="4"/>
      <c r="K109" s="4"/>
    </row>
    <row r="110" spans="2:11" ht="24.75" thickBot="1">
      <c r="B110" s="1034"/>
      <c r="C110" s="857"/>
      <c r="D110" s="845" t="s">
        <v>1516</v>
      </c>
      <c r="E110" s="24" t="s">
        <v>1517</v>
      </c>
      <c r="F110" s="4"/>
      <c r="G110" s="4"/>
      <c r="H110" s="4"/>
      <c r="I110" s="4"/>
      <c r="J110" s="4"/>
      <c r="K110" s="4"/>
    </row>
    <row r="111" spans="2:11" ht="15.75" thickBot="1">
      <c r="B111" s="1"/>
      <c r="C111" s="55"/>
      <c r="D111" s="4"/>
      <c r="E111" s="4"/>
      <c r="F111" s="4"/>
      <c r="G111" s="4"/>
      <c r="H111" s="4"/>
      <c r="I111" s="4"/>
      <c r="J111" s="4"/>
      <c r="K111" s="4"/>
    </row>
    <row r="112" spans="2:11" ht="15.75" thickBot="1">
      <c r="B112" s="1029" t="s">
        <v>1518</v>
      </c>
      <c r="C112" s="1030"/>
      <c r="D112" s="1030"/>
      <c r="E112" s="1031"/>
      <c r="F112" s="4"/>
      <c r="G112" s="4"/>
      <c r="H112" s="4"/>
      <c r="I112" s="4"/>
      <c r="J112" s="4"/>
      <c r="K112" s="4"/>
    </row>
    <row r="113" spans="2:11" ht="15.75" thickBot="1">
      <c r="B113" s="1032">
        <v>1</v>
      </c>
      <c r="C113" s="890"/>
      <c r="D113" s="37" t="s">
        <v>1509</v>
      </c>
      <c r="E113" s="299" t="s">
        <v>1519</v>
      </c>
      <c r="F113" s="4"/>
      <c r="G113" s="4"/>
      <c r="H113" s="4"/>
      <c r="I113" s="4"/>
      <c r="J113" s="4"/>
      <c r="K113" s="4"/>
    </row>
    <row r="114" spans="2:11" ht="15.75" thickBot="1">
      <c r="B114" s="1033"/>
      <c r="C114" s="890"/>
      <c r="D114" s="845" t="s">
        <v>10</v>
      </c>
      <c r="E114" s="299" t="s">
        <v>1616</v>
      </c>
      <c r="F114" s="4"/>
      <c r="G114" s="4"/>
      <c r="H114" s="4"/>
      <c r="I114" s="4"/>
      <c r="J114" s="4"/>
      <c r="K114" s="4"/>
    </row>
    <row r="115" spans="2:11" ht="15.75" thickBot="1">
      <c r="B115" s="1033"/>
      <c r="C115" s="890"/>
      <c r="D115" s="845" t="s">
        <v>1512</v>
      </c>
      <c r="E115" s="211"/>
      <c r="F115" s="4"/>
      <c r="G115" s="4"/>
      <c r="H115" s="4"/>
      <c r="I115" s="4"/>
      <c r="J115" s="4"/>
      <c r="K115" s="4"/>
    </row>
    <row r="116" spans="2:11" ht="15.75" thickBot="1">
      <c r="B116" s="1033"/>
      <c r="C116" s="890"/>
      <c r="D116" s="845" t="s">
        <v>13</v>
      </c>
      <c r="E116" s="211"/>
      <c r="F116" s="4"/>
      <c r="G116" s="4"/>
      <c r="H116" s="4"/>
      <c r="I116" s="4"/>
      <c r="J116" s="4"/>
      <c r="K116" s="4"/>
    </row>
    <row r="117" spans="2:11" ht="15.75" thickBot="1">
      <c r="B117" s="1033"/>
      <c r="C117" s="890"/>
      <c r="D117" s="845" t="s">
        <v>16</v>
      </c>
      <c r="E117" s="211"/>
      <c r="F117" s="4"/>
      <c r="G117" s="4"/>
      <c r="H117" s="4"/>
      <c r="I117" s="4"/>
      <c r="J117" s="4"/>
      <c r="K117" s="4"/>
    </row>
    <row r="118" spans="2:11" ht="15.75" thickBot="1">
      <c r="B118" s="1033"/>
      <c r="C118" s="890"/>
      <c r="D118" s="845" t="s">
        <v>19</v>
      </c>
      <c r="E118" s="211"/>
      <c r="F118" s="4"/>
      <c r="G118" s="4"/>
      <c r="H118" s="4"/>
      <c r="I118" s="4"/>
      <c r="J118" s="4"/>
      <c r="K118" s="4"/>
    </row>
    <row r="119" spans="2:11" ht="15.75" thickBot="1">
      <c r="B119" s="1034"/>
      <c r="C119" s="857"/>
      <c r="D119" s="845" t="s">
        <v>1516</v>
      </c>
      <c r="E119" s="211"/>
      <c r="F119" s="4"/>
      <c r="G119" s="4"/>
      <c r="H119" s="4"/>
      <c r="I119" s="4"/>
      <c r="J119" s="4"/>
      <c r="K119" s="4"/>
    </row>
    <row r="120" spans="2:11" ht="15.75" thickBot="1">
      <c r="B120" s="1"/>
      <c r="C120" s="55"/>
      <c r="D120" s="4"/>
      <c r="E120" s="4"/>
      <c r="F120" s="4"/>
      <c r="G120" s="4"/>
      <c r="H120" s="4"/>
      <c r="I120" s="4"/>
      <c r="J120" s="4"/>
      <c r="K120" s="4"/>
    </row>
    <row r="121" spans="2:11" ht="15" customHeight="1" thickBot="1">
      <c r="B121" s="88" t="s">
        <v>1521</v>
      </c>
      <c r="C121" s="89"/>
      <c r="D121" s="89"/>
      <c r="E121" s="90"/>
      <c r="G121" s="4"/>
      <c r="H121" s="4"/>
      <c r="I121" s="4"/>
      <c r="J121" s="4"/>
      <c r="K121" s="4"/>
    </row>
    <row r="122" spans="2:11" ht="24.75" thickBot="1">
      <c r="B122" s="839" t="s">
        <v>1522</v>
      </c>
      <c r="C122" s="845" t="s">
        <v>1523</v>
      </c>
      <c r="D122" s="845" t="s">
        <v>1524</v>
      </c>
      <c r="E122" s="845" t="s">
        <v>1525</v>
      </c>
      <c r="F122" s="4"/>
      <c r="G122" s="4"/>
      <c r="H122" s="4"/>
      <c r="I122" s="4"/>
      <c r="J122" s="4"/>
    </row>
    <row r="123" spans="2:11" ht="96.75" thickBot="1">
      <c r="B123" s="38">
        <v>42401</v>
      </c>
      <c r="C123" s="845">
        <v>0.01</v>
      </c>
      <c r="D123" s="837" t="s">
        <v>1898</v>
      </c>
      <c r="E123" s="845"/>
      <c r="F123" s="4"/>
      <c r="G123" s="4"/>
      <c r="H123" s="4"/>
      <c r="I123" s="4"/>
      <c r="J123" s="4"/>
    </row>
    <row r="124" spans="2:11" ht="15.75" thickBot="1">
      <c r="B124" s="1"/>
      <c r="C124" s="55"/>
      <c r="D124" s="4"/>
      <c r="E124" s="4"/>
      <c r="F124" s="4"/>
      <c r="G124" s="4"/>
      <c r="H124" s="4"/>
      <c r="I124" s="4"/>
      <c r="J124" s="4"/>
      <c r="K124" s="4"/>
    </row>
    <row r="125" spans="2:11" ht="15.75" thickBot="1">
      <c r="B125" s="3" t="s">
        <v>1406</v>
      </c>
      <c r="C125" s="705"/>
      <c r="D125" s="4"/>
      <c r="E125" s="4"/>
      <c r="F125" s="4"/>
      <c r="G125" s="4"/>
      <c r="H125" s="4"/>
      <c r="I125" s="4"/>
      <c r="J125" s="4"/>
      <c r="K125" s="4"/>
    </row>
    <row r="126" spans="2:11">
      <c r="B126" s="1098" t="s">
        <v>1899</v>
      </c>
      <c r="C126" s="1099"/>
      <c r="D126" s="1099"/>
      <c r="E126" s="1099"/>
      <c r="F126" s="1099"/>
      <c r="G126" s="1099"/>
      <c r="H126" s="1099"/>
      <c r="I126" s="1099"/>
      <c r="J126" s="1099"/>
      <c r="K126" s="4"/>
    </row>
    <row r="127" spans="2:11" ht="24" customHeight="1">
      <c r="B127" s="1098"/>
      <c r="C127" s="1099"/>
      <c r="D127" s="1099"/>
      <c r="E127" s="1099"/>
      <c r="F127" s="1099"/>
      <c r="G127" s="1099"/>
      <c r="H127" s="1099"/>
      <c r="I127" s="1099"/>
      <c r="J127" s="1099"/>
      <c r="K127" s="4"/>
    </row>
    <row r="128" spans="2:11">
      <c r="B128" s="1100"/>
      <c r="C128" s="1101"/>
      <c r="D128" s="1101"/>
      <c r="E128" s="1101"/>
      <c r="F128" s="1101"/>
      <c r="G128" s="1101"/>
      <c r="H128" s="1101"/>
      <c r="I128" s="1101"/>
      <c r="J128" s="1101"/>
      <c r="K128" s="4"/>
    </row>
    <row r="129" spans="2:11" ht="15.75" thickBot="1">
      <c r="B129" s="4"/>
      <c r="D129" s="4"/>
      <c r="E129" s="4"/>
      <c r="F129" s="4"/>
      <c r="G129" s="4"/>
      <c r="H129" s="4"/>
      <c r="I129" s="4"/>
      <c r="J129" s="4"/>
      <c r="K129" s="4"/>
    </row>
    <row r="130" spans="2:11" ht="15.75" thickBot="1">
      <c r="B130" s="1029" t="s">
        <v>1527</v>
      </c>
      <c r="C130" s="1030"/>
      <c r="D130" s="1031"/>
      <c r="E130" s="4"/>
      <c r="F130" s="4"/>
      <c r="G130" s="4"/>
      <c r="H130" s="4"/>
      <c r="I130" s="4"/>
      <c r="J130" s="4"/>
      <c r="K130" s="4"/>
    </row>
    <row r="131" spans="2:11" ht="108.75" thickBot="1">
      <c r="B131" s="839" t="s">
        <v>1528</v>
      </c>
      <c r="C131" s="857"/>
      <c r="D131" s="845" t="s">
        <v>1900</v>
      </c>
      <c r="E131" s="4"/>
      <c r="F131" s="4"/>
      <c r="G131" s="4"/>
      <c r="H131" s="4"/>
      <c r="I131" s="4"/>
      <c r="J131" s="4"/>
      <c r="K131" s="4"/>
    </row>
    <row r="132" spans="2:11">
      <c r="B132" s="1032" t="s">
        <v>1530</v>
      </c>
      <c r="C132" s="890"/>
      <c r="D132" s="836" t="s">
        <v>1531</v>
      </c>
      <c r="E132" s="4"/>
      <c r="F132" s="4"/>
      <c r="G132" s="4"/>
      <c r="H132" s="4"/>
      <c r="I132" s="4"/>
      <c r="J132" s="4"/>
      <c r="K132" s="4"/>
    </row>
    <row r="133" spans="2:11" ht="84">
      <c r="B133" s="1033"/>
      <c r="C133" s="890"/>
      <c r="D133" s="829" t="s">
        <v>1901</v>
      </c>
      <c r="E133" s="4"/>
      <c r="F133" s="4"/>
      <c r="G133" s="4"/>
      <c r="H133" s="4"/>
      <c r="I133" s="4"/>
      <c r="J133" s="4"/>
      <c r="K133" s="4"/>
    </row>
    <row r="134" spans="2:11" ht="36">
      <c r="B134" s="1033"/>
      <c r="C134" s="890"/>
      <c r="D134" s="829" t="s">
        <v>1902</v>
      </c>
      <c r="E134" s="4"/>
      <c r="F134" s="4"/>
      <c r="G134" s="4"/>
      <c r="H134" s="4"/>
      <c r="I134" s="4"/>
      <c r="J134" s="4"/>
      <c r="K134" s="4"/>
    </row>
    <row r="135" spans="2:11">
      <c r="B135" s="1033"/>
      <c r="C135" s="890"/>
      <c r="D135" s="836" t="s">
        <v>1534</v>
      </c>
      <c r="E135" s="4"/>
      <c r="F135" s="4"/>
      <c r="G135" s="4"/>
      <c r="H135" s="4"/>
      <c r="I135" s="4"/>
      <c r="J135" s="4"/>
      <c r="K135" s="4"/>
    </row>
    <row r="136" spans="2:11">
      <c r="B136" s="1033"/>
      <c r="C136" s="890"/>
      <c r="D136" s="829" t="s">
        <v>1536</v>
      </c>
      <c r="E136" s="4"/>
      <c r="F136" s="4"/>
      <c r="G136" s="4"/>
      <c r="H136" s="4"/>
      <c r="I136" s="4"/>
      <c r="J136" s="4"/>
      <c r="K136" s="4"/>
    </row>
    <row r="137" spans="2:11">
      <c r="B137" s="1033"/>
      <c r="C137" s="890"/>
      <c r="D137" s="829" t="s">
        <v>1903</v>
      </c>
      <c r="E137" s="4"/>
      <c r="F137" s="4"/>
      <c r="G137" s="4"/>
      <c r="H137" s="4"/>
      <c r="I137" s="4"/>
      <c r="J137" s="4"/>
      <c r="K137" s="4"/>
    </row>
    <row r="138" spans="2:11">
      <c r="B138" s="1033"/>
      <c r="C138" s="890"/>
      <c r="D138" s="836" t="s">
        <v>1797</v>
      </c>
      <c r="E138" s="4"/>
      <c r="F138" s="4"/>
      <c r="G138" s="4"/>
      <c r="H138" s="4"/>
      <c r="I138" s="4"/>
      <c r="J138" s="4"/>
      <c r="K138" s="4"/>
    </row>
    <row r="139" spans="2:11" ht="36">
      <c r="B139" s="1033"/>
      <c r="C139" s="890"/>
      <c r="D139" s="829" t="s">
        <v>1904</v>
      </c>
      <c r="E139" s="4"/>
      <c r="F139" s="4"/>
      <c r="G139" s="4"/>
      <c r="H139" s="4"/>
      <c r="I139" s="4"/>
      <c r="J139" s="4"/>
      <c r="K139" s="4"/>
    </row>
    <row r="140" spans="2:11" ht="36">
      <c r="B140" s="1033"/>
      <c r="C140" s="890"/>
      <c r="D140" s="829" t="s">
        <v>1905</v>
      </c>
      <c r="E140" s="4"/>
      <c r="F140" s="4"/>
      <c r="G140" s="4"/>
      <c r="H140" s="4"/>
      <c r="I140" s="4"/>
      <c r="J140" s="4"/>
      <c r="K140" s="4"/>
    </row>
    <row r="141" spans="2:11" ht="15.75" thickBot="1">
      <c r="B141" s="1034"/>
      <c r="C141" s="857"/>
      <c r="D141" s="845" t="s">
        <v>1906</v>
      </c>
      <c r="E141" s="4"/>
      <c r="F141" s="4"/>
      <c r="G141" s="4"/>
      <c r="H141" s="4"/>
      <c r="I141" s="4"/>
      <c r="J141" s="4"/>
      <c r="K141" s="4"/>
    </row>
    <row r="142" spans="2:11" ht="24.75" thickBot="1">
      <c r="B142" s="839" t="s">
        <v>1543</v>
      </c>
      <c r="C142" s="857"/>
      <c r="D142" s="845"/>
      <c r="E142" s="4"/>
      <c r="F142" s="4"/>
      <c r="G142" s="4"/>
      <c r="H142" s="4"/>
      <c r="I142" s="4"/>
      <c r="J142" s="4"/>
      <c r="K142" s="4"/>
    </row>
    <row r="143" spans="2:11" ht="15.75" thickBot="1">
      <c r="B143" s="31"/>
      <c r="C143" s="64"/>
      <c r="D143" s="4"/>
      <c r="E143" s="4"/>
      <c r="F143" s="4"/>
      <c r="G143" s="4"/>
      <c r="H143" s="4"/>
      <c r="I143" s="4"/>
      <c r="J143" s="4"/>
      <c r="K143" s="4"/>
    </row>
    <row r="144" spans="2:11" ht="108">
      <c r="B144" s="1032" t="s">
        <v>1544</v>
      </c>
      <c r="C144" s="856"/>
      <c r="D144" s="835" t="s">
        <v>1907</v>
      </c>
      <c r="E144" s="4"/>
      <c r="F144" s="4"/>
      <c r="G144" s="4"/>
      <c r="H144" s="4"/>
      <c r="I144" s="4"/>
      <c r="J144" s="4"/>
      <c r="K144" s="4"/>
    </row>
    <row r="145" spans="2:11" ht="144">
      <c r="B145" s="1033"/>
      <c r="C145" s="890"/>
      <c r="D145" s="829" t="s">
        <v>1908</v>
      </c>
      <c r="E145" s="4"/>
      <c r="F145" s="4"/>
      <c r="G145" s="4"/>
      <c r="H145" s="4"/>
      <c r="I145" s="4"/>
      <c r="J145" s="4"/>
      <c r="K145" s="4"/>
    </row>
    <row r="146" spans="2:11" ht="192">
      <c r="B146" s="1033"/>
      <c r="C146" s="890"/>
      <c r="D146" s="829" t="s">
        <v>1909</v>
      </c>
      <c r="E146" s="4"/>
      <c r="F146" s="4"/>
      <c r="G146" s="4"/>
      <c r="H146" s="4"/>
      <c r="I146" s="4"/>
      <c r="J146" s="4"/>
      <c r="K146" s="4"/>
    </row>
    <row r="147" spans="2:11" ht="72">
      <c r="B147" s="1033"/>
      <c r="C147" s="890"/>
      <c r="D147" s="829" t="s">
        <v>1910</v>
      </c>
      <c r="E147" s="4"/>
      <c r="F147" s="4"/>
      <c r="G147" s="4"/>
      <c r="H147" s="4"/>
      <c r="I147" s="4"/>
      <c r="J147" s="4"/>
      <c r="K147" s="4"/>
    </row>
    <row r="148" spans="2:11" ht="120.75" thickBot="1">
      <c r="B148" s="1034"/>
      <c r="C148" s="857"/>
      <c r="D148" s="845" t="s">
        <v>1911</v>
      </c>
      <c r="E148" s="4"/>
      <c r="F148" s="4"/>
      <c r="G148" s="4"/>
      <c r="H148" s="4"/>
      <c r="I148" s="4"/>
      <c r="J148" s="4"/>
      <c r="K148" s="4"/>
    </row>
    <row r="149" spans="2:11">
      <c r="B149" s="1032" t="s">
        <v>1561</v>
      </c>
      <c r="C149" s="890"/>
      <c r="D149" s="836"/>
      <c r="E149" s="4"/>
      <c r="F149" s="4"/>
      <c r="G149" s="4"/>
      <c r="H149" s="4"/>
      <c r="I149" s="4"/>
      <c r="J149" s="4"/>
      <c r="K149" s="4"/>
    </row>
    <row r="150" spans="2:11" ht="36">
      <c r="B150" s="1033"/>
      <c r="C150" s="890"/>
      <c r="D150" s="836" t="s">
        <v>743</v>
      </c>
      <c r="E150" s="4"/>
      <c r="F150" s="4"/>
      <c r="G150" s="4"/>
      <c r="H150" s="4"/>
      <c r="I150" s="4"/>
      <c r="J150" s="4"/>
      <c r="K150" s="4"/>
    </row>
    <row r="151" spans="2:11">
      <c r="B151" s="1033"/>
      <c r="C151" s="890"/>
      <c r="D151" s="826"/>
      <c r="E151" s="4"/>
      <c r="F151" s="4"/>
      <c r="G151" s="4"/>
      <c r="H151" s="4"/>
      <c r="I151" s="4"/>
      <c r="J151" s="4"/>
      <c r="K151" s="4"/>
    </row>
    <row r="152" spans="2:11">
      <c r="B152" s="1033"/>
      <c r="C152" s="890"/>
      <c r="D152" s="829" t="s">
        <v>1562</v>
      </c>
      <c r="E152" s="4"/>
      <c r="F152" s="4"/>
      <c r="G152" s="4"/>
      <c r="H152" s="4"/>
      <c r="I152" s="4"/>
      <c r="J152" s="4"/>
      <c r="K152" s="4"/>
    </row>
    <row r="153" spans="2:11" ht="49.5">
      <c r="B153" s="1033"/>
      <c r="C153" s="890"/>
      <c r="D153" s="829" t="s">
        <v>1912</v>
      </c>
      <c r="E153" s="4"/>
      <c r="F153" s="4"/>
      <c r="G153" s="4"/>
      <c r="H153" s="4"/>
      <c r="I153" s="4"/>
      <c r="J153" s="4"/>
      <c r="K153" s="4"/>
    </row>
    <row r="154" spans="2:11" ht="49.5">
      <c r="B154" s="1033"/>
      <c r="C154" s="890"/>
      <c r="D154" s="829" t="s">
        <v>1913</v>
      </c>
      <c r="E154" s="4"/>
      <c r="F154" s="4"/>
      <c r="G154" s="4"/>
      <c r="H154" s="4"/>
      <c r="I154" s="4"/>
      <c r="J154" s="4"/>
      <c r="K154" s="4"/>
    </row>
    <row r="155" spans="2:11" ht="50.25" thickBot="1">
      <c r="B155" s="1034"/>
      <c r="C155" s="857"/>
      <c r="D155" s="845" t="s">
        <v>1914</v>
      </c>
      <c r="E155" s="4"/>
      <c r="F155" s="4"/>
      <c r="G155" s="4"/>
      <c r="H155" s="4"/>
      <c r="I155" s="4"/>
      <c r="J155" s="4"/>
      <c r="K155" s="4"/>
    </row>
  </sheetData>
  <sheetProtection insertRows="0"/>
  <mergeCells count="54">
    <mergeCell ref="A1:P1"/>
    <mergeCell ref="A2:P2"/>
    <mergeCell ref="A3:P3"/>
    <mergeCell ref="A4:D4"/>
    <mergeCell ref="A5:P5"/>
    <mergeCell ref="B103:E103"/>
    <mergeCell ref="B104:B110"/>
    <mergeCell ref="B112:E112"/>
    <mergeCell ref="D59:J59"/>
    <mergeCell ref="D60:J60"/>
    <mergeCell ref="D61:J61"/>
    <mergeCell ref="D70:J70"/>
    <mergeCell ref="D71:J71"/>
    <mergeCell ref="D72:J72"/>
    <mergeCell ref="I73:I74"/>
    <mergeCell ref="D73:D74"/>
    <mergeCell ref="E73:E74"/>
    <mergeCell ref="B16:B97"/>
    <mergeCell ref="D27:J27"/>
    <mergeCell ref="D36:J36"/>
    <mergeCell ref="D37:J37"/>
    <mergeCell ref="D50:J50"/>
    <mergeCell ref="D38:J38"/>
    <mergeCell ref="D47:J47"/>
    <mergeCell ref="F17:F18"/>
    <mergeCell ref="D25:I25"/>
    <mergeCell ref="E17:E18"/>
    <mergeCell ref="G17:G18"/>
    <mergeCell ref="B149:B155"/>
    <mergeCell ref="C17:C18"/>
    <mergeCell ref="D17:D18"/>
    <mergeCell ref="B113:B119"/>
    <mergeCell ref="D89:J89"/>
    <mergeCell ref="D90:J90"/>
    <mergeCell ref="D98:J98"/>
    <mergeCell ref="B99:B101"/>
    <mergeCell ref="D99:J99"/>
    <mergeCell ref="D100:J100"/>
    <mergeCell ref="D101:J101"/>
    <mergeCell ref="F73:F74"/>
    <mergeCell ref="G73:G74"/>
    <mergeCell ref="H73:H74"/>
    <mergeCell ref="D48:J48"/>
    <mergeCell ref="D49:J49"/>
    <mergeCell ref="B126:J127"/>
    <mergeCell ref="B128:J128"/>
    <mergeCell ref="B130:D130"/>
    <mergeCell ref="B132:B141"/>
    <mergeCell ref="B144:B148"/>
    <mergeCell ref="B11:D11"/>
    <mergeCell ref="F11:S11"/>
    <mergeCell ref="F12:S12"/>
    <mergeCell ref="E13:R13"/>
    <mergeCell ref="E14:R14"/>
  </mergeCells>
  <conditionalFormatting sqref="F11">
    <cfRule type="notContainsBlanks" dxfId="96" priority="4">
      <formula>LEN(TRIM(F11))&gt;0</formula>
    </cfRule>
  </conditionalFormatting>
  <conditionalFormatting sqref="F12:S12">
    <cfRule type="expression" dxfId="95" priority="2">
      <formula>E12="NO SE REPORTA"</formula>
    </cfRule>
    <cfRule type="expression" dxfId="94" priority="3">
      <formula>E11="NO APLICA"</formula>
    </cfRule>
  </conditionalFormatting>
  <conditionalFormatting sqref="E13:R13">
    <cfRule type="expression" dxfId="93" priority="1">
      <formula>E12="SI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29:H34 E23:F23 E19:F19 E52:H57" xr:uid="{00000000-0002-0000-1100-000000000000}">
      <formula1>0</formula1>
    </dataValidation>
    <dataValidation type="whole" operator="greaterThanOrEqual" allowBlank="1" showInputMessage="1" showErrorMessage="1" errorTitle="ERROR" error="Valor en HECTAREAS (sin decimales)_x000a_" sqref="E20:F22 E40:H45 G75:H88 E63:H68" xr:uid="{00000000-0002-0000-1100-000001000000}">
      <formula1>0</formula1>
    </dataValidation>
    <dataValidation allowBlank="1" showInputMessage="1" showErrorMessage="1" promptTitle="ESTADO" prompt="en preparación_x000a_en aprestamiento_x000a_en declaración_x000a_Declarado" sqref="I75:I88" xr:uid="{00000000-0002-0000-1100-000002000000}"/>
    <dataValidation allowBlank="1" showInputMessage="1" showErrorMessage="1" sqref="I40 E46:H46 I52 E69:H69 I63 E58:H58 E24:F24 I29" xr:uid="{00000000-0002-0000-1100-000003000000}"/>
    <dataValidation type="list" allowBlank="1" showInputMessage="1" showErrorMessage="1" sqref="E12" xr:uid="{00000000-0002-0000-1100-000004000000}">
      <formula1>REPORTE</formula1>
    </dataValidation>
    <dataValidation type="list" allowBlank="1" showInputMessage="1" showErrorMessage="1" sqref="E11" xr:uid="{00000000-0002-0000-1100-000005000000}">
      <formula1>SI</formula1>
    </dataValidation>
  </dataValidations>
  <hyperlinks>
    <hyperlink ref="B10" location="'ANEXO 3'!A1" display="VOLVER AL INDICE" xr:uid="{00000000-0004-0000-1100-000000000000}"/>
    <hyperlink ref="E108" r:id="rId1" xr:uid="{00000000-0004-0000-11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89"/>
  <sheetViews>
    <sheetView showGridLines="0" topLeftCell="A7" zoomScale="98" zoomScaleNormal="98" workbookViewId="0">
      <selection activeCell="E13" sqref="E13:R13"/>
    </sheetView>
  </sheetViews>
  <sheetFormatPr defaultColWidth="10.7109375" defaultRowHeight="15"/>
  <cols>
    <col min="1" max="1" width="1.85546875" customWidth="1"/>
    <col min="2" max="2" width="12.85546875" customWidth="1"/>
    <col min="3" max="3" width="5" style="63" bestFit="1" customWidth="1"/>
    <col min="4" max="4" width="34.85546875" customWidth="1"/>
    <col min="5" max="5" width="12.140625" customWidth="1"/>
  </cols>
  <sheetData>
    <row r="1" spans="1:21" s="333" customFormat="1" ht="100.5" customHeight="1" thickBot="1">
      <c r="A1" s="992"/>
      <c r="B1" s="993"/>
      <c r="C1" s="993"/>
      <c r="D1" s="993"/>
      <c r="E1" s="993"/>
      <c r="F1" s="993"/>
      <c r="G1" s="993"/>
      <c r="H1" s="993"/>
      <c r="I1" s="993"/>
      <c r="J1" s="993"/>
      <c r="K1" s="993"/>
      <c r="L1" s="993"/>
      <c r="M1" s="993"/>
      <c r="N1" s="993"/>
      <c r="O1" s="993"/>
      <c r="P1" s="994"/>
      <c r="Q1" s="241"/>
      <c r="R1" s="241"/>
    </row>
    <row r="2" spans="1:21"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334" customFormat="1" ht="16.5" thickBot="1">
      <c r="A3" s="995" t="s">
        <v>1401</v>
      </c>
      <c r="B3" s="996"/>
      <c r="C3" s="996"/>
      <c r="D3" s="996"/>
      <c r="E3" s="996"/>
      <c r="F3" s="996"/>
      <c r="G3" s="996"/>
      <c r="H3" s="996"/>
      <c r="I3" s="996"/>
      <c r="J3" s="996"/>
      <c r="K3" s="996"/>
      <c r="L3" s="996"/>
      <c r="M3" s="996"/>
      <c r="N3" s="996"/>
      <c r="O3" s="996"/>
      <c r="P3" s="997"/>
      <c r="Q3" s="241"/>
      <c r="R3" s="241"/>
    </row>
    <row r="4" spans="1:21" s="334" customFormat="1" ht="16.5" thickBot="1">
      <c r="A4" s="998" t="s">
        <v>55</v>
      </c>
      <c r="B4" s="999"/>
      <c r="C4" s="999"/>
      <c r="D4" s="999"/>
      <c r="E4" s="370" t="str">
        <f>'Datos Generales'!C6</f>
        <v>2020-II</v>
      </c>
      <c r="F4" s="370"/>
      <c r="G4" s="370"/>
      <c r="H4" s="370"/>
      <c r="I4" s="370"/>
      <c r="J4" s="370"/>
      <c r="K4" s="370"/>
      <c r="L4" s="372"/>
      <c r="M4" s="372"/>
      <c r="N4" s="372"/>
      <c r="O4" s="372"/>
      <c r="P4" s="373"/>
      <c r="Q4" s="241"/>
      <c r="R4" s="241"/>
    </row>
    <row r="5" spans="1:21" s="177" customFormat="1" ht="16.5" customHeight="1" thickBot="1">
      <c r="A5" s="995" t="s">
        <v>745</v>
      </c>
      <c r="B5" s="996"/>
      <c r="C5" s="996"/>
      <c r="D5" s="996"/>
      <c r="E5" s="996"/>
      <c r="F5" s="996"/>
      <c r="G5" s="996"/>
      <c r="H5" s="996"/>
      <c r="I5" s="996"/>
      <c r="J5" s="996"/>
      <c r="K5" s="996"/>
      <c r="L5" s="996"/>
      <c r="M5" s="996"/>
      <c r="N5" s="996"/>
      <c r="O5" s="996"/>
      <c r="P5" s="997"/>
    </row>
    <row r="6" spans="1:21">
      <c r="A6" s="177"/>
      <c r="B6" s="179" t="s">
        <v>1437</v>
      </c>
      <c r="C6" s="180"/>
      <c r="D6" s="178"/>
      <c r="E6" s="187"/>
      <c r="F6" s="178" t="s">
        <v>1438</v>
      </c>
      <c r="G6" s="178"/>
      <c r="H6" s="178"/>
      <c r="I6" s="178"/>
      <c r="J6" s="178"/>
      <c r="K6" s="178"/>
      <c r="L6" s="241"/>
      <c r="M6" s="241"/>
      <c r="N6" s="241"/>
      <c r="O6" s="241"/>
      <c r="P6" s="241"/>
      <c r="Q6" s="241"/>
      <c r="R6" s="241"/>
      <c r="S6" s="241"/>
      <c r="T6" s="241"/>
      <c r="U6" s="241"/>
    </row>
    <row r="7" spans="1:21" ht="15.75" thickBot="1">
      <c r="A7" s="177"/>
      <c r="B7" s="181"/>
      <c r="C7" s="182"/>
      <c r="D7" s="178"/>
      <c r="E7" s="183"/>
      <c r="F7" s="178" t="s">
        <v>1439</v>
      </c>
      <c r="G7" s="178"/>
      <c r="H7" s="178"/>
      <c r="I7" s="178"/>
      <c r="J7" s="178"/>
      <c r="K7" s="178"/>
      <c r="L7" s="241"/>
      <c r="M7" s="241"/>
      <c r="N7" s="241"/>
      <c r="O7" s="241"/>
      <c r="P7" s="241"/>
      <c r="Q7" s="241"/>
      <c r="R7" s="241"/>
      <c r="S7" s="241"/>
      <c r="T7" s="241"/>
      <c r="U7" s="241"/>
    </row>
    <row r="8" spans="1:21" ht="15.75" thickBot="1">
      <c r="A8" s="177"/>
      <c r="B8" s="188" t="s">
        <v>1440</v>
      </c>
      <c r="C8" s="189">
        <v>2020</v>
      </c>
      <c r="D8" s="185" t="str">
        <f>IF(E10="NO APLICA","NO APLICA",IF(E11="NO SE REPORTA","SIN INFORMACION",+F20))</f>
        <v>NO APLICA</v>
      </c>
      <c r="E8" s="190"/>
      <c r="F8" s="178" t="s">
        <v>1441</v>
      </c>
      <c r="G8" s="178"/>
      <c r="H8" s="178"/>
      <c r="I8" s="178"/>
      <c r="J8" s="178"/>
      <c r="K8" s="178"/>
      <c r="L8" s="241"/>
      <c r="M8" s="241"/>
      <c r="N8" s="241"/>
      <c r="O8" s="241"/>
      <c r="P8" s="241"/>
      <c r="Q8" s="241"/>
      <c r="R8" s="241"/>
      <c r="S8" s="241"/>
      <c r="T8" s="241"/>
      <c r="U8" s="241"/>
    </row>
    <row r="9" spans="1:21">
      <c r="A9" s="177"/>
      <c r="B9" s="300" t="s">
        <v>1442</v>
      </c>
      <c r="C9" s="191"/>
      <c r="D9" s="178"/>
      <c r="E9" s="178"/>
      <c r="F9" s="178"/>
      <c r="G9" s="178"/>
      <c r="H9" s="178"/>
      <c r="I9" s="178"/>
      <c r="J9" s="178"/>
      <c r="K9" s="178"/>
      <c r="L9" s="241"/>
      <c r="M9" s="241"/>
      <c r="N9" s="241"/>
      <c r="O9" s="241"/>
      <c r="P9" s="241"/>
      <c r="Q9" s="241"/>
      <c r="R9" s="241"/>
      <c r="S9" s="241"/>
      <c r="T9" s="241"/>
      <c r="U9" s="241"/>
    </row>
    <row r="10" spans="1:21" s="241" customFormat="1">
      <c r="A10" s="177"/>
      <c r="B10" s="1108" t="s">
        <v>1443</v>
      </c>
      <c r="C10" s="1108"/>
      <c r="D10" s="1108"/>
      <c r="E10" s="306" t="s">
        <v>1915</v>
      </c>
      <c r="F10" s="110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1110"/>
      <c r="H10" s="1110"/>
      <c r="I10" s="1110"/>
      <c r="J10" s="1110"/>
      <c r="K10" s="1110"/>
      <c r="L10" s="1110"/>
      <c r="M10" s="1110"/>
      <c r="N10" s="1110"/>
      <c r="O10" s="1110"/>
      <c r="P10" s="1110"/>
      <c r="Q10" s="1110"/>
      <c r="R10" s="1110"/>
      <c r="S10" s="1110"/>
      <c r="T10" s="302"/>
      <c r="U10" s="302"/>
    </row>
    <row r="11" spans="1:21" s="241" customFormat="1" ht="14.45" customHeight="1">
      <c r="A11" s="177"/>
      <c r="B11" s="303"/>
      <c r="C11" s="304"/>
      <c r="D11" s="305" t="str">
        <f>IF(E10="SI APLICA","¿El indicador no se reporta por limitaciones de información disponible? ","")</f>
        <v/>
      </c>
      <c r="E11" s="307" t="s">
        <v>1916</v>
      </c>
      <c r="F11" s="1111"/>
      <c r="G11" s="1112"/>
      <c r="H11" s="1112"/>
      <c r="I11" s="1112"/>
      <c r="J11" s="1112"/>
      <c r="K11" s="1112"/>
      <c r="L11" s="1112"/>
      <c r="M11" s="1112"/>
      <c r="N11" s="1112"/>
      <c r="O11" s="1112"/>
      <c r="P11" s="1112"/>
      <c r="Q11" s="1112"/>
      <c r="R11" s="1112"/>
      <c r="S11" s="1112"/>
    </row>
    <row r="12" spans="1:21" s="241" customFormat="1" ht="23.45" customHeight="1">
      <c r="A12" s="177"/>
      <c r="B12" s="300"/>
      <c r="C12" s="206"/>
      <c r="D12" s="305" t="str">
        <f>IF(E11="SI SE REPORTA","¿Qué programas o proyectos del Plan de Acción están asociados al indicador? ","")</f>
        <v/>
      </c>
      <c r="E12" s="1113"/>
      <c r="F12" s="1113"/>
      <c r="G12" s="1113"/>
      <c r="H12" s="1113"/>
      <c r="I12" s="1113"/>
      <c r="J12" s="1113"/>
      <c r="K12" s="1113"/>
      <c r="L12" s="1113"/>
      <c r="M12" s="1113"/>
      <c r="N12" s="1113"/>
      <c r="O12" s="1113"/>
      <c r="P12" s="1113"/>
      <c r="Q12" s="1113"/>
      <c r="R12" s="1113"/>
    </row>
    <row r="13" spans="1:21" s="241" customFormat="1" ht="21.95" customHeight="1">
      <c r="A13" s="177"/>
      <c r="B13" s="300"/>
      <c r="C13" s="206"/>
      <c r="D13" s="305" t="s">
        <v>1447</v>
      </c>
      <c r="E13" s="1057" t="s">
        <v>1917</v>
      </c>
      <c r="F13" s="1058"/>
      <c r="G13" s="1058"/>
      <c r="H13" s="1058"/>
      <c r="I13" s="1058"/>
      <c r="J13" s="1058"/>
      <c r="K13" s="1058"/>
      <c r="L13" s="1058"/>
      <c r="M13" s="1058"/>
      <c r="N13" s="1058"/>
      <c r="O13" s="1058"/>
      <c r="P13" s="1058"/>
      <c r="Q13" s="1058"/>
      <c r="R13" s="1059"/>
    </row>
    <row r="14" spans="1:21" s="241" customFormat="1" ht="6.95" customHeight="1" thickBot="1">
      <c r="A14" s="177"/>
      <c r="B14" s="300"/>
      <c r="C14" s="191"/>
      <c r="D14" s="178"/>
      <c r="E14" s="178"/>
      <c r="F14" s="178"/>
      <c r="G14" s="178"/>
      <c r="H14" s="178"/>
      <c r="I14" s="178"/>
      <c r="J14" s="178"/>
      <c r="K14" s="178"/>
    </row>
    <row r="15" spans="1:21" ht="15.75" thickTop="1">
      <c r="A15" s="177"/>
      <c r="B15" s="1117" t="s">
        <v>1449</v>
      </c>
      <c r="C15" s="192"/>
      <c r="D15" s="1118" t="s">
        <v>1816</v>
      </c>
      <c r="E15" s="1119"/>
      <c r="F15" s="1119"/>
      <c r="G15" s="1119"/>
      <c r="H15" s="1119"/>
      <c r="I15" s="1119"/>
      <c r="J15" s="1120"/>
      <c r="K15" s="178"/>
      <c r="L15" s="241"/>
      <c r="M15" s="241"/>
      <c r="N15" s="241"/>
      <c r="O15" s="241"/>
      <c r="P15" s="241"/>
      <c r="Q15" s="241"/>
      <c r="R15" s="241"/>
      <c r="S15" s="241"/>
      <c r="T15" s="241"/>
      <c r="U15" s="241"/>
    </row>
    <row r="16" spans="1:21" ht="15.75" thickBot="1">
      <c r="A16" s="177"/>
      <c r="B16" s="1115"/>
      <c r="C16" s="194"/>
      <c r="D16" s="1121" t="s">
        <v>1918</v>
      </c>
      <c r="E16" s="1122"/>
      <c r="F16" s="1122"/>
      <c r="G16" s="1122"/>
      <c r="H16" s="1122"/>
      <c r="I16" s="1122"/>
      <c r="J16" s="1123"/>
      <c r="K16" s="178"/>
      <c r="L16" s="241"/>
      <c r="M16" s="241"/>
      <c r="N16" s="241"/>
      <c r="O16" s="241"/>
      <c r="P16" s="241"/>
      <c r="Q16" s="241"/>
      <c r="R16" s="241"/>
      <c r="S16" s="241"/>
      <c r="T16" s="241"/>
      <c r="U16" s="241"/>
    </row>
    <row r="17" spans="1:11" ht="24.75" thickBot="1">
      <c r="A17" s="177"/>
      <c r="B17" s="1115"/>
      <c r="C17" s="193"/>
      <c r="D17" s="196" t="s">
        <v>1919</v>
      </c>
      <c r="E17" s="862" t="s">
        <v>1920</v>
      </c>
      <c r="F17" s="196" t="s">
        <v>1487</v>
      </c>
      <c r="G17" s="196" t="s">
        <v>1488</v>
      </c>
      <c r="H17" s="196" t="s">
        <v>1489</v>
      </c>
      <c r="I17" s="196" t="s">
        <v>1490</v>
      </c>
      <c r="J17" s="196" t="s">
        <v>1604</v>
      </c>
      <c r="K17" s="178"/>
    </row>
    <row r="18" spans="1:11" ht="36.75" thickBot="1">
      <c r="A18" s="177"/>
      <c r="B18" s="1115"/>
      <c r="C18" s="193"/>
      <c r="D18" s="195" t="s">
        <v>1921</v>
      </c>
      <c r="E18" s="332"/>
      <c r="F18" s="160"/>
      <c r="G18" s="160"/>
      <c r="H18" s="160"/>
      <c r="I18" s="160"/>
      <c r="J18" s="197">
        <f>SUM(F18:I18)</f>
        <v>0</v>
      </c>
      <c r="K18" s="14"/>
    </row>
    <row r="19" spans="1:11" ht="36.75" thickBot="1">
      <c r="A19" s="177"/>
      <c r="B19" s="1115"/>
      <c r="C19" s="193"/>
      <c r="D19" s="195" t="s">
        <v>1922</v>
      </c>
      <c r="E19" s="160"/>
      <c r="F19" s="160"/>
      <c r="G19" s="160"/>
      <c r="H19" s="160"/>
      <c r="I19" s="160"/>
      <c r="J19" s="197">
        <f>SUM(F19:I19)</f>
        <v>0</v>
      </c>
      <c r="K19" s="14"/>
    </row>
    <row r="20" spans="1:11" ht="36.75" thickBot="1">
      <c r="A20" s="177"/>
      <c r="B20" s="1115"/>
      <c r="C20" s="216"/>
      <c r="D20" s="195" t="s">
        <v>745</v>
      </c>
      <c r="E20" s="143" t="str">
        <f t="shared" ref="E20:J20" si="0">IFERROR(E19/E18,"N.A.")</f>
        <v>N.A.</v>
      </c>
      <c r="F20" s="143" t="str">
        <f t="shared" si="0"/>
        <v>N.A.</v>
      </c>
      <c r="G20" s="143" t="str">
        <f t="shared" si="0"/>
        <v>N.A.</v>
      </c>
      <c r="H20" s="143" t="str">
        <f t="shared" si="0"/>
        <v>N.A.</v>
      </c>
      <c r="I20" s="143" t="str">
        <f t="shared" si="0"/>
        <v>N.A.</v>
      </c>
      <c r="J20" s="143" t="str">
        <f t="shared" si="0"/>
        <v>N.A.</v>
      </c>
      <c r="K20" s="14"/>
    </row>
    <row r="21" spans="1:11" ht="11.1" customHeight="1" thickBot="1">
      <c r="A21" s="177"/>
      <c r="B21" s="859"/>
      <c r="C21" s="192"/>
      <c r="D21" s="1121" t="s">
        <v>1923</v>
      </c>
      <c r="E21" s="1122"/>
      <c r="F21" s="1122"/>
      <c r="G21" s="1122"/>
      <c r="H21" s="1122"/>
      <c r="I21" s="1122"/>
      <c r="J21" s="1123"/>
      <c r="K21" s="178"/>
    </row>
    <row r="22" spans="1:11" ht="36.75" thickBot="1">
      <c r="A22" s="177"/>
      <c r="B22" s="859"/>
      <c r="C22" s="194"/>
      <c r="D22" s="203" t="s">
        <v>1924</v>
      </c>
      <c r="E22" s="858" t="s">
        <v>1925</v>
      </c>
      <c r="F22" s="861" t="s">
        <v>1887</v>
      </c>
      <c r="G22" s="232"/>
      <c r="H22" s="233"/>
      <c r="I22" s="233"/>
      <c r="J22" s="234"/>
      <c r="K22" s="178"/>
    </row>
    <row r="23" spans="1:11" s="146" customFormat="1" ht="15.75" thickBot="1">
      <c r="B23" s="884"/>
      <c r="C23" s="172"/>
      <c r="D23" s="225"/>
      <c r="E23" s="853"/>
      <c r="F23" s="853"/>
      <c r="G23" s="226"/>
      <c r="H23" s="227"/>
      <c r="I23" s="227"/>
      <c r="J23" s="228"/>
      <c r="K23" s="14"/>
    </row>
    <row r="24" spans="1:11" s="146" customFormat="1" ht="15.75" thickBot="1">
      <c r="B24" s="884"/>
      <c r="C24" s="172"/>
      <c r="D24" s="225"/>
      <c r="E24" s="853"/>
      <c r="F24" s="853"/>
      <c r="G24" s="226"/>
      <c r="H24" s="227"/>
      <c r="I24" s="227"/>
      <c r="J24" s="228"/>
      <c r="K24" s="14"/>
    </row>
    <row r="25" spans="1:11" s="146" customFormat="1" ht="15.75" thickBot="1">
      <c r="B25" s="884"/>
      <c r="C25" s="172"/>
      <c r="D25" s="225"/>
      <c r="E25" s="853"/>
      <c r="F25" s="853"/>
      <c r="G25" s="226"/>
      <c r="H25" s="227"/>
      <c r="I25" s="227"/>
      <c r="J25" s="228"/>
      <c r="K25" s="14"/>
    </row>
    <row r="26" spans="1:11" s="146" customFormat="1" ht="15.75" thickBot="1">
      <c r="B26" s="884"/>
      <c r="C26" s="172"/>
      <c r="D26" s="225"/>
      <c r="E26" s="853"/>
      <c r="F26" s="853"/>
      <c r="G26" s="226"/>
      <c r="H26" s="227"/>
      <c r="I26" s="227"/>
      <c r="J26" s="228"/>
      <c r="K26" s="14"/>
    </row>
    <row r="27" spans="1:11" s="146" customFormat="1" ht="15.75" thickBot="1">
      <c r="B27" s="884"/>
      <c r="C27" s="172"/>
      <c r="D27" s="225"/>
      <c r="E27" s="853"/>
      <c r="F27" s="853"/>
      <c r="G27" s="226"/>
      <c r="H27" s="227"/>
      <c r="I27" s="227"/>
      <c r="J27" s="228"/>
      <c r="K27" s="14"/>
    </row>
    <row r="28" spans="1:11" s="146" customFormat="1" ht="15.75" thickBot="1">
      <c r="B28" s="884"/>
      <c r="C28" s="172"/>
      <c r="D28" s="225"/>
      <c r="E28" s="853"/>
      <c r="F28" s="853"/>
      <c r="G28" s="226"/>
      <c r="H28" s="227"/>
      <c r="I28" s="227"/>
      <c r="J28" s="228"/>
      <c r="K28" s="14"/>
    </row>
    <row r="29" spans="1:11" s="146" customFormat="1" ht="15.75" thickBot="1">
      <c r="B29" s="884"/>
      <c r="C29" s="172"/>
      <c r="D29" s="225"/>
      <c r="E29" s="853"/>
      <c r="F29" s="853"/>
      <c r="G29" s="226"/>
      <c r="H29" s="227"/>
      <c r="I29" s="227"/>
      <c r="J29" s="228"/>
      <c r="K29" s="14"/>
    </row>
    <row r="30" spans="1:11" s="146" customFormat="1" ht="15.75" thickBot="1">
      <c r="B30" s="884"/>
      <c r="C30" s="172"/>
      <c r="D30" s="225"/>
      <c r="E30" s="853"/>
      <c r="F30" s="853"/>
      <c r="G30" s="226"/>
      <c r="H30" s="227"/>
      <c r="I30" s="227"/>
      <c r="J30" s="228"/>
      <c r="K30" s="14"/>
    </row>
    <row r="31" spans="1:11" s="146" customFormat="1" ht="15.75" thickBot="1">
      <c r="B31" s="884"/>
      <c r="C31" s="172"/>
      <c r="D31" s="225"/>
      <c r="E31" s="853"/>
      <c r="F31" s="853"/>
      <c r="G31" s="226"/>
      <c r="H31" s="227"/>
      <c r="I31" s="227"/>
      <c r="J31" s="228"/>
      <c r="K31" s="14"/>
    </row>
    <row r="32" spans="1:11" s="146" customFormat="1" ht="15.75" thickBot="1">
      <c r="B32" s="884"/>
      <c r="C32" s="172"/>
      <c r="D32" s="225"/>
      <c r="E32" s="853"/>
      <c r="F32" s="853"/>
      <c r="G32" s="226"/>
      <c r="H32" s="227"/>
      <c r="I32" s="227"/>
      <c r="J32" s="228"/>
      <c r="K32" s="14"/>
    </row>
    <row r="33" spans="1:11" s="146" customFormat="1" ht="15.75" thickBot="1">
      <c r="B33" s="884"/>
      <c r="C33" s="172"/>
      <c r="D33" s="25"/>
      <c r="E33" s="25"/>
      <c r="F33" s="25"/>
      <c r="G33" s="226"/>
      <c r="H33" s="227"/>
      <c r="I33" s="227"/>
      <c r="J33" s="228"/>
    </row>
    <row r="34" spans="1:11" s="146" customFormat="1" ht="15.75" thickBot="1">
      <c r="B34" s="884"/>
      <c r="C34" s="172"/>
      <c r="D34" s="25"/>
      <c r="E34" s="25"/>
      <c r="F34" s="25"/>
      <c r="G34" s="226"/>
      <c r="H34" s="227"/>
      <c r="I34" s="227"/>
      <c r="J34" s="228"/>
    </row>
    <row r="35" spans="1:11" s="146" customFormat="1" ht="15.75" thickBot="1">
      <c r="B35" s="885"/>
      <c r="C35" s="173"/>
      <c r="D35" s="25"/>
      <c r="E35" s="25"/>
      <c r="F35" s="25"/>
      <c r="G35" s="229"/>
      <c r="H35" s="230"/>
      <c r="I35" s="230"/>
      <c r="J35" s="231"/>
    </row>
    <row r="36" spans="1:11" ht="15.75" thickBot="1">
      <c r="A36" s="177"/>
      <c r="B36" s="860" t="s">
        <v>1504</v>
      </c>
      <c r="C36" s="198"/>
      <c r="D36" s="1124" t="s">
        <v>1926</v>
      </c>
      <c r="E36" s="1125"/>
      <c r="F36" s="1125"/>
      <c r="G36" s="1125"/>
      <c r="H36" s="1125"/>
      <c r="I36" s="1125"/>
      <c r="J36" s="1126"/>
      <c r="K36" s="177"/>
    </row>
    <row r="37" spans="1:11" ht="24.75" thickBot="1">
      <c r="A37" s="177"/>
      <c r="B37" s="860" t="s">
        <v>1506</v>
      </c>
      <c r="C37" s="198"/>
      <c r="D37" s="1124" t="s">
        <v>1831</v>
      </c>
      <c r="E37" s="1125"/>
      <c r="F37" s="1125"/>
      <c r="G37" s="1125"/>
      <c r="H37" s="1125"/>
      <c r="I37" s="1125"/>
      <c r="J37" s="1126"/>
      <c r="K37" s="177"/>
    </row>
    <row r="38" spans="1:11" ht="15.75" thickBot="1">
      <c r="A38" s="177"/>
      <c r="B38" s="221"/>
      <c r="C38" s="235"/>
      <c r="D38" s="221"/>
      <c r="E38" s="221"/>
      <c r="F38" s="221"/>
      <c r="G38" s="221"/>
      <c r="H38" s="221"/>
      <c r="I38" s="221"/>
      <c r="J38" s="221"/>
      <c r="K38" s="178"/>
    </row>
    <row r="39" spans="1:11" ht="24" customHeight="1" thickBot="1">
      <c r="A39" s="177"/>
      <c r="B39" s="1127" t="s">
        <v>1508</v>
      </c>
      <c r="C39" s="1128"/>
      <c r="D39" s="1128"/>
      <c r="E39" s="1129"/>
      <c r="F39" s="178"/>
      <c r="G39" s="178"/>
      <c r="H39" s="178"/>
      <c r="I39" s="178"/>
      <c r="J39" s="178"/>
      <c r="K39" s="178"/>
    </row>
    <row r="40" spans="1:11" ht="15.75" thickBot="1">
      <c r="A40" s="177"/>
      <c r="B40" s="1114">
        <v>1</v>
      </c>
      <c r="C40" s="193"/>
      <c r="D40" s="199" t="s">
        <v>1509</v>
      </c>
      <c r="E40" s="25"/>
      <c r="F40" s="178"/>
      <c r="G40" s="178"/>
      <c r="H40" s="178"/>
      <c r="I40" s="178"/>
      <c r="J40" s="178"/>
      <c r="K40" s="178"/>
    </row>
    <row r="41" spans="1:11" ht="15.75" thickBot="1">
      <c r="A41" s="177"/>
      <c r="B41" s="1115"/>
      <c r="C41" s="193"/>
      <c r="D41" s="195" t="s">
        <v>10</v>
      </c>
      <c r="E41" s="25"/>
      <c r="F41" s="178"/>
      <c r="G41" s="178"/>
      <c r="H41" s="178"/>
      <c r="I41" s="178"/>
      <c r="J41" s="178"/>
      <c r="K41" s="178"/>
    </row>
    <row r="42" spans="1:11" ht="15.75" thickBot="1">
      <c r="A42" s="177"/>
      <c r="B42" s="1115"/>
      <c r="C42" s="193"/>
      <c r="D42" s="195" t="s">
        <v>1512</v>
      </c>
      <c r="E42" s="25"/>
      <c r="F42" s="178"/>
      <c r="G42" s="178"/>
      <c r="H42" s="178"/>
      <c r="I42" s="178"/>
      <c r="J42" s="178"/>
      <c r="K42" s="178"/>
    </row>
    <row r="43" spans="1:11" ht="15.75" thickBot="1">
      <c r="A43" s="177"/>
      <c r="B43" s="1115"/>
      <c r="C43" s="193"/>
      <c r="D43" s="195" t="s">
        <v>13</v>
      </c>
      <c r="E43" s="25"/>
      <c r="F43" s="178"/>
      <c r="G43" s="178"/>
      <c r="H43" s="178"/>
      <c r="I43" s="178"/>
      <c r="J43" s="178"/>
      <c r="K43" s="178"/>
    </row>
    <row r="44" spans="1:11" ht="15.75" thickBot="1">
      <c r="A44" s="177"/>
      <c r="B44" s="1115"/>
      <c r="C44" s="193"/>
      <c r="D44" s="195" t="s">
        <v>16</v>
      </c>
      <c r="E44" s="25"/>
      <c r="F44" s="178"/>
      <c r="G44" s="178"/>
      <c r="H44" s="178"/>
      <c r="I44" s="178"/>
      <c r="J44" s="178"/>
      <c r="K44" s="178"/>
    </row>
    <row r="45" spans="1:11" ht="15.75" thickBot="1">
      <c r="A45" s="177"/>
      <c r="B45" s="1115"/>
      <c r="C45" s="193"/>
      <c r="D45" s="195" t="s">
        <v>19</v>
      </c>
      <c r="E45" s="25"/>
      <c r="F45" s="178"/>
      <c r="G45" s="178"/>
      <c r="H45" s="178"/>
      <c r="I45" s="178"/>
      <c r="J45" s="178"/>
      <c r="K45" s="178"/>
    </row>
    <row r="46" spans="1:11" ht="15.75" thickBot="1">
      <c r="A46" s="177"/>
      <c r="B46" s="1116"/>
      <c r="C46" s="216"/>
      <c r="D46" s="195" t="s">
        <v>1516</v>
      </c>
      <c r="E46" s="25"/>
      <c r="F46" s="178"/>
      <c r="G46" s="178"/>
      <c r="H46" s="178"/>
      <c r="I46" s="178"/>
      <c r="J46" s="178"/>
      <c r="K46" s="178"/>
    </row>
    <row r="47" spans="1:11" ht="15.75" thickBot="1">
      <c r="A47" s="177"/>
      <c r="B47" s="179"/>
      <c r="C47" s="180"/>
      <c r="D47" s="178"/>
      <c r="E47" s="178"/>
      <c r="F47" s="178"/>
      <c r="G47" s="178"/>
      <c r="H47" s="178"/>
      <c r="I47" s="178"/>
      <c r="J47" s="178"/>
      <c r="K47" s="178"/>
    </row>
    <row r="48" spans="1:11" ht="15.75" thickBot="1">
      <c r="A48" s="177"/>
      <c r="B48" s="1127" t="s">
        <v>1518</v>
      </c>
      <c r="C48" s="1128"/>
      <c r="D48" s="1128"/>
      <c r="E48" s="1129"/>
      <c r="F48" s="178"/>
      <c r="G48" s="178"/>
      <c r="H48" s="178"/>
      <c r="I48" s="178"/>
      <c r="J48" s="178"/>
      <c r="K48" s="178"/>
    </row>
    <row r="49" spans="1:11" ht="15.75" thickBot="1">
      <c r="A49" s="177"/>
      <c r="B49" s="1114">
        <v>1</v>
      </c>
      <c r="C49" s="193"/>
      <c r="D49" s="199" t="s">
        <v>1509</v>
      </c>
      <c r="E49" s="299" t="s">
        <v>1519</v>
      </c>
      <c r="F49" s="178"/>
      <c r="G49" s="178"/>
      <c r="H49" s="178"/>
      <c r="I49" s="178"/>
      <c r="J49" s="178"/>
      <c r="K49" s="178"/>
    </row>
    <row r="50" spans="1:11" ht="15.75" thickBot="1">
      <c r="A50" s="177"/>
      <c r="B50" s="1115"/>
      <c r="C50" s="193"/>
      <c r="D50" s="195" t="s">
        <v>10</v>
      </c>
      <c r="E50" s="299" t="s">
        <v>1520</v>
      </c>
      <c r="F50" s="178"/>
      <c r="G50" s="178"/>
      <c r="H50" s="178"/>
      <c r="I50" s="178"/>
      <c r="J50" s="178"/>
      <c r="K50" s="178"/>
    </row>
    <row r="51" spans="1:11" ht="15.75" thickBot="1">
      <c r="A51" s="177"/>
      <c r="B51" s="1115"/>
      <c r="C51" s="193"/>
      <c r="D51" s="195" t="s">
        <v>1512</v>
      </c>
      <c r="E51" s="211"/>
      <c r="F51" s="178"/>
      <c r="G51" s="178"/>
      <c r="H51" s="178"/>
      <c r="I51" s="178"/>
      <c r="J51" s="178"/>
      <c r="K51" s="178"/>
    </row>
    <row r="52" spans="1:11" ht="15.75" thickBot="1">
      <c r="A52" s="177"/>
      <c r="B52" s="1115"/>
      <c r="C52" s="193"/>
      <c r="D52" s="195" t="s">
        <v>13</v>
      </c>
      <c r="E52" s="211"/>
      <c r="F52" s="178"/>
      <c r="G52" s="178"/>
      <c r="H52" s="178"/>
      <c r="I52" s="178"/>
      <c r="J52" s="178"/>
      <c r="K52" s="178"/>
    </row>
    <row r="53" spans="1:11" ht="15.75" thickBot="1">
      <c r="A53" s="177"/>
      <c r="B53" s="1115"/>
      <c r="C53" s="193"/>
      <c r="D53" s="195" t="s">
        <v>16</v>
      </c>
      <c r="E53" s="211"/>
      <c r="F53" s="178"/>
      <c r="G53" s="178"/>
      <c r="H53" s="178"/>
      <c r="I53" s="178"/>
      <c r="J53" s="178"/>
      <c r="K53" s="178"/>
    </row>
    <row r="54" spans="1:11" ht="15.75" thickBot="1">
      <c r="A54" s="177"/>
      <c r="B54" s="1115"/>
      <c r="C54" s="193"/>
      <c r="D54" s="195" t="s">
        <v>19</v>
      </c>
      <c r="E54" s="211"/>
      <c r="F54" s="178"/>
      <c r="G54" s="178"/>
      <c r="H54" s="178"/>
      <c r="I54" s="178"/>
      <c r="J54" s="178"/>
      <c r="K54" s="178"/>
    </row>
    <row r="55" spans="1:11" ht="15.75" thickBot="1">
      <c r="A55" s="177"/>
      <c r="B55" s="1116"/>
      <c r="C55" s="216"/>
      <c r="D55" s="195" t="s">
        <v>1516</v>
      </c>
      <c r="E55" s="211"/>
      <c r="F55" s="178"/>
      <c r="G55" s="178"/>
      <c r="H55" s="178"/>
      <c r="I55" s="178"/>
      <c r="J55" s="178"/>
      <c r="K55" s="178"/>
    </row>
    <row r="56" spans="1:11" ht="15.75" thickBot="1">
      <c r="A56" s="177"/>
      <c r="B56" s="179"/>
      <c r="C56" s="180"/>
      <c r="D56" s="178"/>
      <c r="E56" s="178"/>
      <c r="F56" s="178"/>
      <c r="G56" s="178"/>
      <c r="H56" s="178"/>
      <c r="I56" s="178"/>
      <c r="J56" s="178"/>
      <c r="K56" s="178"/>
    </row>
    <row r="57" spans="1:11" ht="15" customHeight="1" thickBot="1">
      <c r="A57" s="177"/>
      <c r="B57" s="863" t="s">
        <v>1521</v>
      </c>
      <c r="C57" s="864"/>
      <c r="D57" s="864"/>
      <c r="E57" s="865"/>
      <c r="F57" s="177"/>
      <c r="G57" s="178"/>
      <c r="H57" s="178"/>
      <c r="I57" s="178"/>
      <c r="J57" s="178"/>
      <c r="K57" s="178"/>
    </row>
    <row r="58" spans="1:11" ht="24.75" thickBot="1">
      <c r="A58" s="177"/>
      <c r="B58" s="860" t="s">
        <v>1522</v>
      </c>
      <c r="C58" s="195" t="s">
        <v>1523</v>
      </c>
      <c r="D58" s="195" t="s">
        <v>1524</v>
      </c>
      <c r="E58" s="195" t="s">
        <v>1525</v>
      </c>
      <c r="F58" s="178"/>
      <c r="G58" s="178"/>
      <c r="H58" s="178"/>
      <c r="I58" s="178"/>
      <c r="J58" s="178"/>
      <c r="K58" s="177"/>
    </row>
    <row r="59" spans="1:11" ht="72.75" thickBot="1">
      <c r="A59" s="177"/>
      <c r="B59" s="200">
        <v>42401</v>
      </c>
      <c r="C59" s="195">
        <v>1</v>
      </c>
      <c r="D59" s="201" t="s">
        <v>1927</v>
      </c>
      <c r="E59" s="195"/>
      <c r="F59" s="178"/>
      <c r="G59" s="178"/>
      <c r="H59" s="178"/>
      <c r="I59" s="178"/>
      <c r="J59" s="178"/>
      <c r="K59" s="177"/>
    </row>
    <row r="60" spans="1:11" ht="15.75" thickBot="1">
      <c r="A60" s="177"/>
      <c r="B60" s="179"/>
      <c r="C60" s="180"/>
      <c r="D60" s="178"/>
      <c r="E60" s="178"/>
      <c r="F60" s="178"/>
      <c r="G60" s="178"/>
      <c r="H60" s="178"/>
      <c r="I60" s="178"/>
      <c r="J60" s="178"/>
      <c r="K60" s="178"/>
    </row>
    <row r="61" spans="1:11" ht="15.75" thickBot="1">
      <c r="A61" s="177"/>
      <c r="B61" s="212" t="s">
        <v>1928</v>
      </c>
      <c r="C61" s="202"/>
      <c r="D61" s="178"/>
      <c r="E61" s="178"/>
      <c r="F61" s="178"/>
      <c r="G61" s="178"/>
      <c r="H61" s="178"/>
      <c r="I61" s="178"/>
      <c r="J61" s="178"/>
      <c r="K61" s="178"/>
    </row>
    <row r="62" spans="1:11">
      <c r="A62" s="177"/>
      <c r="B62" s="1081"/>
      <c r="C62" s="1130"/>
      <c r="D62" s="1130"/>
      <c r="E62" s="178"/>
      <c r="F62" s="178"/>
      <c r="G62" s="178"/>
      <c r="H62" s="178"/>
      <c r="I62" s="178"/>
      <c r="J62" s="178"/>
      <c r="K62" s="178"/>
    </row>
    <row r="63" spans="1:11">
      <c r="A63" s="177"/>
      <c r="B63" s="1081"/>
      <c r="C63" s="1130"/>
      <c r="D63" s="1130"/>
      <c r="E63" s="178"/>
      <c r="F63" s="178"/>
      <c r="G63" s="178"/>
      <c r="H63" s="178"/>
      <c r="I63" s="178"/>
      <c r="J63" s="178"/>
      <c r="K63" s="178"/>
    </row>
    <row r="64" spans="1:11" ht="15.75" thickBot="1">
      <c r="A64" s="177"/>
      <c r="B64" s="178"/>
      <c r="C64" s="191"/>
      <c r="D64" s="178"/>
      <c r="E64" s="178"/>
      <c r="F64" s="178"/>
      <c r="G64" s="178"/>
      <c r="H64" s="178"/>
      <c r="I64" s="178"/>
      <c r="J64" s="178"/>
      <c r="K64" s="178"/>
    </row>
    <row r="65" spans="1:11" ht="15.75" thickBot="1">
      <c r="A65" s="177"/>
      <c r="B65" s="1127" t="s">
        <v>1527</v>
      </c>
      <c r="C65" s="1128"/>
      <c r="D65" s="1129"/>
      <c r="E65" s="178"/>
      <c r="F65" s="178"/>
      <c r="G65" s="178"/>
      <c r="H65" s="178"/>
      <c r="I65" s="178"/>
      <c r="J65" s="178"/>
      <c r="K65" s="178"/>
    </row>
    <row r="66" spans="1:11" ht="60.75" thickBot="1">
      <c r="A66" s="177"/>
      <c r="B66" s="860" t="s">
        <v>1528</v>
      </c>
      <c r="C66" s="216"/>
      <c r="D66" s="195" t="s">
        <v>1929</v>
      </c>
      <c r="E66" s="178"/>
      <c r="F66" s="178"/>
      <c r="G66" s="178"/>
      <c r="H66" s="178"/>
      <c r="I66" s="178"/>
      <c r="J66" s="178"/>
      <c r="K66" s="178"/>
    </row>
    <row r="67" spans="1:11">
      <c r="A67" s="177"/>
      <c r="B67" s="1114" t="s">
        <v>1530</v>
      </c>
      <c r="C67" s="193"/>
      <c r="D67" s="208" t="s">
        <v>1531</v>
      </c>
      <c r="E67" s="178"/>
      <c r="F67" s="178"/>
      <c r="G67" s="178"/>
      <c r="H67" s="178"/>
      <c r="I67" s="178"/>
      <c r="J67" s="178"/>
      <c r="K67" s="178"/>
    </row>
    <row r="68" spans="1:11" ht="120">
      <c r="A68" s="177"/>
      <c r="B68" s="1115"/>
      <c r="C68" s="193"/>
      <c r="D68" s="209" t="s">
        <v>1930</v>
      </c>
      <c r="E68" s="178"/>
      <c r="F68" s="178"/>
      <c r="G68" s="178"/>
      <c r="H68" s="178"/>
      <c r="I68" s="178"/>
      <c r="J68" s="178"/>
      <c r="K68" s="178"/>
    </row>
    <row r="69" spans="1:11">
      <c r="A69" s="177"/>
      <c r="B69" s="1115"/>
      <c r="C69" s="193"/>
      <c r="D69" s="208" t="s">
        <v>1534</v>
      </c>
      <c r="E69" s="178"/>
      <c r="F69" s="178"/>
      <c r="G69" s="178"/>
      <c r="H69" s="178"/>
      <c r="I69" s="178"/>
      <c r="J69" s="178"/>
      <c r="K69" s="178"/>
    </row>
    <row r="70" spans="1:11">
      <c r="A70" s="177"/>
      <c r="B70" s="1115"/>
      <c r="C70" s="193"/>
      <c r="D70" s="209" t="s">
        <v>1836</v>
      </c>
      <c r="E70" s="178"/>
      <c r="F70" s="178"/>
      <c r="G70" s="178"/>
      <c r="H70" s="178"/>
      <c r="I70" s="178"/>
      <c r="J70" s="178"/>
      <c r="K70" s="178"/>
    </row>
    <row r="71" spans="1:11">
      <c r="A71" s="177"/>
      <c r="B71" s="1115"/>
      <c r="C71" s="193"/>
      <c r="D71" s="209" t="s">
        <v>1931</v>
      </c>
      <c r="E71" s="178"/>
      <c r="F71" s="178"/>
      <c r="G71" s="178"/>
      <c r="H71" s="178"/>
      <c r="I71" s="178"/>
      <c r="J71" s="178"/>
      <c r="K71" s="178"/>
    </row>
    <row r="72" spans="1:11">
      <c r="A72" s="177"/>
      <c r="B72" s="1115"/>
      <c r="C72" s="193"/>
      <c r="D72" s="209" t="s">
        <v>1651</v>
      </c>
      <c r="E72" s="178"/>
      <c r="F72" s="178"/>
      <c r="G72" s="178"/>
      <c r="H72" s="178"/>
      <c r="I72" s="178"/>
      <c r="J72" s="178"/>
      <c r="K72" s="178"/>
    </row>
    <row r="73" spans="1:11">
      <c r="A73" s="177"/>
      <c r="B73" s="1115"/>
      <c r="C73" s="193"/>
      <c r="D73" s="209" t="s">
        <v>1932</v>
      </c>
      <c r="E73" s="178"/>
      <c r="F73" s="178"/>
      <c r="G73" s="178"/>
      <c r="H73" s="178"/>
      <c r="I73" s="178"/>
      <c r="J73" s="178"/>
      <c r="K73" s="178"/>
    </row>
    <row r="74" spans="1:11">
      <c r="A74" s="177"/>
      <c r="B74" s="1115"/>
      <c r="C74" s="193"/>
      <c r="D74" s="209" t="s">
        <v>1933</v>
      </c>
      <c r="E74" s="178"/>
      <c r="F74" s="178"/>
      <c r="G74" s="178"/>
      <c r="H74" s="178"/>
      <c r="I74" s="178"/>
      <c r="J74" s="178"/>
      <c r="K74" s="178"/>
    </row>
    <row r="75" spans="1:11">
      <c r="A75" s="177"/>
      <c r="B75" s="1115"/>
      <c r="C75" s="193"/>
      <c r="D75" s="209" t="s">
        <v>1934</v>
      </c>
      <c r="E75" s="178"/>
      <c r="F75" s="178"/>
      <c r="G75" s="178"/>
      <c r="H75" s="178"/>
      <c r="I75" s="178"/>
      <c r="J75" s="178"/>
      <c r="K75" s="178"/>
    </row>
    <row r="76" spans="1:11">
      <c r="A76" s="177"/>
      <c r="B76" s="1115"/>
      <c r="C76" s="193"/>
      <c r="D76" s="209" t="s">
        <v>1935</v>
      </c>
      <c r="E76" s="178"/>
      <c r="F76" s="178"/>
      <c r="G76" s="178"/>
      <c r="H76" s="178"/>
      <c r="I76" s="178"/>
      <c r="J76" s="178"/>
      <c r="K76" s="178"/>
    </row>
    <row r="77" spans="1:11">
      <c r="A77" s="177"/>
      <c r="B77" s="1115"/>
      <c r="C77" s="193"/>
      <c r="D77" s="208" t="s">
        <v>1797</v>
      </c>
      <c r="E77" s="178"/>
      <c r="F77" s="178"/>
      <c r="G77" s="178"/>
      <c r="H77" s="178"/>
      <c r="I77" s="178"/>
      <c r="J77" s="178"/>
      <c r="K77" s="178"/>
    </row>
    <row r="78" spans="1:11" ht="36.75" thickBot="1">
      <c r="A78" s="177"/>
      <c r="B78" s="1116"/>
      <c r="C78" s="216"/>
      <c r="D78" s="195" t="s">
        <v>1904</v>
      </c>
      <c r="E78" s="178"/>
      <c r="F78" s="178"/>
      <c r="G78" s="178"/>
      <c r="H78" s="178"/>
      <c r="I78" s="178"/>
      <c r="J78" s="178"/>
      <c r="K78" s="178"/>
    </row>
    <row r="79" spans="1:11" ht="24.75" thickBot="1">
      <c r="A79" s="177"/>
      <c r="B79" s="860" t="s">
        <v>1543</v>
      </c>
      <c r="C79" s="216"/>
      <c r="D79" s="195"/>
      <c r="E79" s="178"/>
      <c r="F79" s="178"/>
      <c r="G79" s="178"/>
      <c r="H79" s="178"/>
      <c r="I79" s="178"/>
      <c r="J79" s="178"/>
      <c r="K79" s="178"/>
    </row>
    <row r="80" spans="1:11" ht="144">
      <c r="A80" s="177"/>
      <c r="B80" s="1114" t="s">
        <v>1544</v>
      </c>
      <c r="C80" s="193"/>
      <c r="D80" s="209" t="s">
        <v>1936</v>
      </c>
      <c r="E80" s="178"/>
      <c r="F80" s="178"/>
      <c r="G80" s="178"/>
      <c r="H80" s="178"/>
      <c r="I80" s="178"/>
      <c r="J80" s="178"/>
      <c r="K80" s="178"/>
    </row>
    <row r="81" spans="1:11" ht="72">
      <c r="A81" s="177"/>
      <c r="B81" s="1115"/>
      <c r="C81" s="193"/>
      <c r="D81" s="209" t="s">
        <v>1937</v>
      </c>
      <c r="E81" s="178"/>
      <c r="F81" s="178"/>
      <c r="G81" s="178"/>
      <c r="H81" s="178"/>
      <c r="I81" s="178"/>
      <c r="J81" s="178"/>
      <c r="K81" s="178"/>
    </row>
    <row r="82" spans="1:11" ht="84">
      <c r="A82" s="177"/>
      <c r="B82" s="1115"/>
      <c r="C82" s="193"/>
      <c r="D82" s="209" t="s">
        <v>1938</v>
      </c>
      <c r="E82" s="178"/>
      <c r="F82" s="178"/>
      <c r="G82" s="178"/>
      <c r="H82" s="178"/>
      <c r="I82" s="178"/>
      <c r="J82" s="178"/>
      <c r="K82" s="178"/>
    </row>
    <row r="83" spans="1:11" ht="108.75" thickBot="1">
      <c r="A83" s="177"/>
      <c r="B83" s="1116"/>
      <c r="C83" s="216"/>
      <c r="D83" s="195" t="s">
        <v>1939</v>
      </c>
      <c r="E83" s="178"/>
      <c r="F83" s="178"/>
      <c r="G83" s="178"/>
      <c r="H83" s="178"/>
      <c r="I83" s="178"/>
      <c r="J83" s="178"/>
      <c r="K83" s="178"/>
    </row>
    <row r="84" spans="1:11" ht="36">
      <c r="A84" s="177"/>
      <c r="B84" s="1114" t="s">
        <v>1561</v>
      </c>
      <c r="C84" s="193"/>
      <c r="D84" s="208" t="s">
        <v>745</v>
      </c>
      <c r="E84" s="178"/>
      <c r="F84" s="178"/>
      <c r="G84" s="178"/>
      <c r="H84" s="178"/>
      <c r="I84" s="178"/>
      <c r="J84" s="178"/>
      <c r="K84" s="178"/>
    </row>
    <row r="85" spans="1:11">
      <c r="A85" s="177"/>
      <c r="B85" s="1115"/>
      <c r="C85" s="193"/>
      <c r="D85" s="210"/>
      <c r="E85" s="178"/>
      <c r="F85" s="178"/>
      <c r="G85" s="178"/>
      <c r="H85" s="178"/>
      <c r="I85" s="178"/>
      <c r="J85" s="178"/>
      <c r="K85" s="178"/>
    </row>
    <row r="86" spans="1:11">
      <c r="A86" s="177"/>
      <c r="B86" s="1115"/>
      <c r="C86" s="193"/>
      <c r="D86" s="209" t="s">
        <v>1562</v>
      </c>
      <c r="E86" s="178"/>
      <c r="F86" s="178"/>
      <c r="G86" s="178"/>
      <c r="H86" s="178"/>
      <c r="I86" s="178"/>
      <c r="J86" s="178"/>
      <c r="K86" s="178"/>
    </row>
    <row r="87" spans="1:11" ht="61.5">
      <c r="A87" s="177"/>
      <c r="B87" s="1115"/>
      <c r="C87" s="193"/>
      <c r="D87" s="209" t="s">
        <v>1940</v>
      </c>
      <c r="E87" s="178"/>
      <c r="F87" s="178"/>
      <c r="G87" s="178"/>
      <c r="H87" s="178"/>
      <c r="I87" s="178"/>
      <c r="J87" s="178"/>
      <c r="K87" s="178"/>
    </row>
    <row r="88" spans="1:11" ht="61.5">
      <c r="A88" s="177"/>
      <c r="B88" s="1115"/>
      <c r="C88" s="193"/>
      <c r="D88" s="209" t="s">
        <v>1941</v>
      </c>
      <c r="E88" s="178"/>
      <c r="F88" s="178"/>
      <c r="G88" s="178"/>
      <c r="H88" s="178"/>
      <c r="I88" s="178"/>
      <c r="J88" s="178"/>
      <c r="K88" s="178"/>
    </row>
    <row r="89" spans="1:11" ht="38.25" thickBot="1">
      <c r="A89" s="177"/>
      <c r="B89" s="1116"/>
      <c r="C89" s="216"/>
      <c r="D89" s="195" t="s">
        <v>1942</v>
      </c>
      <c r="E89" s="178"/>
      <c r="F89" s="178"/>
      <c r="G89" s="178"/>
      <c r="H89" s="178"/>
      <c r="I89" s="178"/>
      <c r="J89" s="178"/>
      <c r="K89" s="178"/>
    </row>
  </sheetData>
  <mergeCells count="25">
    <mergeCell ref="A1:P1"/>
    <mergeCell ref="A2:P2"/>
    <mergeCell ref="A3:P3"/>
    <mergeCell ref="A4:D4"/>
    <mergeCell ref="A5:P5"/>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B10:D10"/>
    <mergeCell ref="F10:S10"/>
    <mergeCell ref="F11:S11"/>
    <mergeCell ref="E12:R12"/>
    <mergeCell ref="E13:R13"/>
  </mergeCells>
  <conditionalFormatting sqref="F10">
    <cfRule type="notContainsBlanks" dxfId="92" priority="4">
      <formula>LEN(TRIM(F10))&gt;0</formula>
    </cfRule>
  </conditionalFormatting>
  <conditionalFormatting sqref="F11:S11">
    <cfRule type="expression" dxfId="91" priority="2">
      <formula>E11="NO SE REPORTA"</formula>
    </cfRule>
    <cfRule type="expression" dxfId="90" priority="3">
      <formula>E10="NO APLICA"</formula>
    </cfRule>
  </conditionalFormatting>
  <conditionalFormatting sqref="E12:R12">
    <cfRule type="expression" dxfId="89"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1200-000000000000}">
      <formula1>0</formula1>
    </dataValidation>
    <dataValidation allowBlank="1" showInputMessage="1" showErrorMessage="1" promptTitle="OJO" prompt="NO TOCAR" sqref="E20:J20 J18:J19" xr:uid="{00000000-0002-0000-1200-000001000000}"/>
    <dataValidation type="whole" operator="greaterThanOrEqual" allowBlank="1" showInputMessage="1" showErrorMessage="1" errorTitle="ERROR" error="Valor en HECTAREAS (sin decimales)_x000a_" sqref="G38:H38" xr:uid="{00000000-0002-0000-1200-000002000000}">
      <formula1>0</formula1>
    </dataValidation>
    <dataValidation allowBlank="1" showInputMessage="1" showErrorMessage="1" promptTitle="ESTADO" prompt="en preparación_x000a_en aprestamiento_x000a_en declaración_x000a_Declarado" sqref="I38" xr:uid="{00000000-0002-0000-1200-000003000000}"/>
    <dataValidation type="list" allowBlank="1" showInputMessage="1" showErrorMessage="1" sqref="E11" xr:uid="{00000000-0002-0000-1200-000004000000}">
      <formula1>REPORTE</formula1>
    </dataValidation>
    <dataValidation type="list" allowBlank="1" showInputMessage="1" showErrorMessage="1" sqref="E10" xr:uid="{00000000-0002-0000-1200-000005000000}">
      <formula1>SI</formula1>
    </dataValidation>
  </dataValidations>
  <hyperlinks>
    <hyperlink ref="B9" location="'ANEXO 3'!A1" display="VOLVER AL INDICE" xr:uid="{00000000-0004-0000-1200-000000000000}"/>
  </hyperlinks>
  <pageMargins left="0.25" right="0.25" top="0.75" bottom="0.75" header="0.3" footer="0.3"/>
  <pageSetup paperSize="178"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497"/>
  <sheetViews>
    <sheetView tabSelected="1" topLeftCell="L1" zoomScale="80" zoomScaleNormal="80" zoomScaleSheetLayoutView="75" workbookViewId="0">
      <selection activeCell="E337" sqref="E337"/>
    </sheetView>
  </sheetViews>
  <sheetFormatPr defaultColWidth="11.42578125" defaultRowHeight="12.75" outlineLevelRow="3"/>
  <cols>
    <col min="1" max="1" width="82.5703125" style="335" customWidth="1"/>
    <col min="2" max="2" width="14.7109375" style="335" customWidth="1"/>
    <col min="3" max="3" width="13.7109375" style="669" customWidth="1"/>
    <col min="4" max="4" width="13" style="669" customWidth="1"/>
    <col min="5" max="5" width="14.42578125" style="669" customWidth="1"/>
    <col min="6" max="6" width="59.85546875" style="624" customWidth="1"/>
    <col min="7" max="7" width="23.42578125" style="518" customWidth="1"/>
    <col min="8" max="8" width="12.140625" style="669" customWidth="1"/>
    <col min="9" max="9" width="12" style="670" customWidth="1"/>
    <col min="10" max="10" width="11.28515625" style="644" customWidth="1"/>
    <col min="11" max="11" width="14.42578125" style="644" customWidth="1"/>
    <col min="12" max="12" width="15.85546875" style="644" customWidth="1"/>
    <col min="13" max="13" width="19.140625" style="692" customWidth="1"/>
    <col min="14" max="14" width="20.28515625" style="692" customWidth="1"/>
    <col min="15" max="15" width="12.5703125" style="669" customWidth="1"/>
    <col min="16" max="16" width="25" style="335" bestFit="1" customWidth="1"/>
    <col min="17" max="17" width="23" style="335" bestFit="1" customWidth="1"/>
    <col min="18" max="18" width="14.85546875" style="335" customWidth="1"/>
    <col min="19" max="19" width="25" style="335" customWidth="1"/>
    <col min="20" max="20" width="17.5703125" style="335" customWidth="1"/>
    <col min="21" max="21" width="20.28515625" style="335" customWidth="1"/>
    <col min="22" max="22" width="29.140625" style="335" customWidth="1"/>
    <col min="23" max="16384" width="11.42578125" style="335"/>
  </cols>
  <sheetData>
    <row r="1" spans="1:22" ht="135.75" customHeight="1" thickBot="1">
      <c r="A1" s="925"/>
      <c r="B1" s="926"/>
      <c r="C1" s="926"/>
      <c r="D1" s="926"/>
      <c r="E1" s="926"/>
      <c r="F1" s="926"/>
      <c r="G1" s="926"/>
      <c r="H1" s="926"/>
      <c r="I1" s="926"/>
      <c r="J1" s="926"/>
      <c r="K1" s="926"/>
      <c r="L1" s="926"/>
      <c r="M1" s="926"/>
      <c r="N1" s="926"/>
      <c r="O1" s="926"/>
      <c r="P1" s="926"/>
      <c r="Q1" s="926"/>
      <c r="R1" s="926"/>
      <c r="S1" s="926"/>
      <c r="T1" s="926"/>
      <c r="U1" s="926"/>
      <c r="V1" s="927"/>
    </row>
    <row r="2" spans="1:22" s="336" customFormat="1" ht="27.75" customHeight="1">
      <c r="A2" s="919" t="str">
        <f>+'Datos Generales'!C5</f>
        <v>Corporación Autónoma Regional del Atlántico – CRA</v>
      </c>
      <c r="B2" s="920"/>
      <c r="C2" s="920"/>
      <c r="D2" s="920"/>
      <c r="E2" s="920"/>
      <c r="F2" s="920"/>
      <c r="G2" s="920"/>
      <c r="H2" s="920"/>
      <c r="I2" s="920"/>
      <c r="J2" s="920"/>
      <c r="K2" s="920"/>
      <c r="L2" s="920"/>
      <c r="M2" s="920"/>
      <c r="N2" s="920"/>
      <c r="O2" s="920"/>
      <c r="P2" s="920"/>
      <c r="Q2" s="920"/>
      <c r="R2" s="920"/>
      <c r="S2" s="920"/>
      <c r="T2" s="920"/>
      <c r="U2" s="920"/>
      <c r="V2" s="921"/>
    </row>
    <row r="3" spans="1:22" s="336" customFormat="1" ht="12" customHeight="1" thickBot="1">
      <c r="A3" s="922" t="s">
        <v>54</v>
      </c>
      <c r="B3" s="923"/>
      <c r="C3" s="923"/>
      <c r="D3" s="923"/>
      <c r="E3" s="923"/>
      <c r="F3" s="923"/>
      <c r="G3" s="923"/>
      <c r="H3" s="923"/>
      <c r="I3" s="923"/>
      <c r="J3" s="923"/>
      <c r="K3" s="923"/>
      <c r="L3" s="923"/>
      <c r="M3" s="923"/>
      <c r="N3" s="923"/>
      <c r="O3" s="923"/>
      <c r="P3" s="923"/>
      <c r="Q3" s="923"/>
      <c r="R3" s="923"/>
      <c r="S3" s="923"/>
      <c r="T3" s="923"/>
      <c r="U3" s="923"/>
      <c r="V3" s="924"/>
    </row>
    <row r="4" spans="1:22" s="336" customFormat="1" ht="24" customHeight="1" thickBot="1">
      <c r="A4" s="369" t="s">
        <v>55</v>
      </c>
      <c r="B4" s="370" t="str">
        <f>'Datos Generales'!C6</f>
        <v>2020-II</v>
      </c>
      <c r="C4" s="824"/>
      <c r="D4" s="824"/>
      <c r="E4" s="824"/>
      <c r="F4" s="605"/>
      <c r="G4" s="516"/>
      <c r="H4" s="824"/>
      <c r="I4" s="648"/>
      <c r="J4" s="640"/>
      <c r="K4" s="640"/>
      <c r="L4" s="640"/>
      <c r="M4" s="679"/>
      <c r="N4" s="679"/>
      <c r="O4" s="824"/>
      <c r="P4" s="370"/>
      <c r="Q4" s="370"/>
      <c r="R4" s="370"/>
      <c r="S4" s="370"/>
      <c r="T4" s="370"/>
      <c r="U4" s="370"/>
      <c r="V4" s="371"/>
    </row>
    <row r="5" spans="1:22" ht="53.25" customHeight="1" thickBot="1">
      <c r="A5" s="939" t="s">
        <v>56</v>
      </c>
      <c r="B5" s="941" t="s">
        <v>57</v>
      </c>
      <c r="C5" s="942"/>
      <c r="D5" s="942"/>
      <c r="E5" s="942"/>
      <c r="F5" s="942"/>
      <c r="G5" s="942"/>
      <c r="H5" s="942"/>
      <c r="I5" s="943"/>
      <c r="J5" s="943"/>
      <c r="K5" s="943"/>
      <c r="L5" s="819"/>
      <c r="M5" s="944" t="s">
        <v>58</v>
      </c>
      <c r="N5" s="945"/>
      <c r="O5" s="945"/>
      <c r="P5" s="945"/>
      <c r="Q5" s="945"/>
      <c r="R5" s="945"/>
      <c r="S5" s="934" t="s">
        <v>59</v>
      </c>
      <c r="T5" s="928" t="s">
        <v>60</v>
      </c>
      <c r="U5" s="930" t="s">
        <v>61</v>
      </c>
      <c r="V5" s="932" t="s">
        <v>62</v>
      </c>
    </row>
    <row r="6" spans="1:22" ht="76.7" customHeight="1" thickBot="1">
      <c r="A6" s="940"/>
      <c r="B6" s="337" t="s">
        <v>63</v>
      </c>
      <c r="C6" s="337" t="s">
        <v>64</v>
      </c>
      <c r="D6" s="337" t="s">
        <v>65</v>
      </c>
      <c r="E6" s="337" t="s">
        <v>66</v>
      </c>
      <c r="F6" s="337" t="s">
        <v>67</v>
      </c>
      <c r="G6" s="517" t="s">
        <v>68</v>
      </c>
      <c r="H6" s="338" t="s">
        <v>69</v>
      </c>
      <c r="I6" s="629" t="s">
        <v>70</v>
      </c>
      <c r="J6" s="628" t="s">
        <v>71</v>
      </c>
      <c r="K6" s="632" t="s">
        <v>72</v>
      </c>
      <c r="L6" s="632" t="s">
        <v>73</v>
      </c>
      <c r="M6" s="680" t="s">
        <v>74</v>
      </c>
      <c r="N6" s="680" t="s">
        <v>75</v>
      </c>
      <c r="O6" s="339" t="s">
        <v>76</v>
      </c>
      <c r="P6" s="340" t="s">
        <v>77</v>
      </c>
      <c r="Q6" s="341" t="s">
        <v>78</v>
      </c>
      <c r="R6" s="341" t="s">
        <v>79</v>
      </c>
      <c r="S6" s="935"/>
      <c r="T6" s="929"/>
      <c r="U6" s="931"/>
      <c r="V6" s="933"/>
    </row>
    <row r="7" spans="1:22" ht="19.5" customHeight="1" thickBot="1">
      <c r="A7" s="489" t="s">
        <v>80</v>
      </c>
      <c r="B7" s="491"/>
      <c r="C7" s="523"/>
      <c r="D7" s="523"/>
      <c r="E7" s="522">
        <f>+E8*$K$8+E50*$K$50+E79*$K$79</f>
        <v>0.67219999999999991</v>
      </c>
      <c r="F7" s="495"/>
      <c r="G7" s="522"/>
      <c r="H7" s="523"/>
      <c r="I7" s="649"/>
      <c r="J7" s="522">
        <f>+J8*$L$8+J50*$L$50+J79*$L$79</f>
        <v>0.15868520531400968</v>
      </c>
      <c r="K7" s="633">
        <v>0.4</v>
      </c>
      <c r="L7" s="633">
        <v>0.4</v>
      </c>
      <c r="M7" s="681">
        <f>+SUM(M8,M50,M79)</f>
        <v>70015997742.309998</v>
      </c>
      <c r="N7" s="681">
        <f>+SUM(N8,N50,N79)</f>
        <v>46412999007.309998</v>
      </c>
      <c r="O7" s="671">
        <f>+N7/M7</f>
        <v>0.66289134631960067</v>
      </c>
      <c r="P7" s="681">
        <f>+SUM(P8,P50,P79)</f>
        <v>223448450954</v>
      </c>
      <c r="Q7" s="681">
        <f>+SUM(Q8,Q50,Q79)</f>
        <v>46412999007.309998</v>
      </c>
      <c r="R7" s="671">
        <f>+Q7/P7</f>
        <v>0.20771233279600926</v>
      </c>
      <c r="S7" s="496"/>
      <c r="T7" s="492"/>
      <c r="U7" s="493"/>
      <c r="V7" s="494"/>
    </row>
    <row r="8" spans="1:22" ht="25.5" outlineLevel="1">
      <c r="A8" s="503" t="s">
        <v>81</v>
      </c>
      <c r="B8" s="498"/>
      <c r="C8" s="524"/>
      <c r="D8" s="524"/>
      <c r="E8" s="521">
        <f>+E9*$K$9+E34*$K$34+E39*$K$39</f>
        <v>0.68199999999999994</v>
      </c>
      <c r="F8" s="497"/>
      <c r="G8" s="521"/>
      <c r="H8" s="524"/>
      <c r="I8" s="650"/>
      <c r="J8" s="521">
        <f>+J9*$L$9+J34*$L$34+J39*$L$39</f>
        <v>0.16799999999999998</v>
      </c>
      <c r="K8" s="634">
        <v>0.65</v>
      </c>
      <c r="L8" s="634">
        <v>0.65</v>
      </c>
      <c r="M8" s="682">
        <f>+SUM(M9,M34,M39)</f>
        <v>19920000000</v>
      </c>
      <c r="N8" s="682">
        <f>+SUM(N9,N34,N39)</f>
        <v>6179050696.4099998</v>
      </c>
      <c r="O8" s="672">
        <f>+N8/M8</f>
        <v>0.31019330805271084</v>
      </c>
      <c r="P8" s="682">
        <f>+SUM(P9,P34,P39)</f>
        <v>56035000000</v>
      </c>
      <c r="Q8" s="682">
        <f>+SUM(Q9,Q34,Q39)</f>
        <v>6179050696.4099998</v>
      </c>
      <c r="R8" s="672">
        <f>+Q8/P8</f>
        <v>0.11027127146265726</v>
      </c>
      <c r="S8" s="499"/>
      <c r="T8" s="500"/>
      <c r="U8" s="501"/>
      <c r="V8" s="502"/>
    </row>
    <row r="9" spans="1:22" outlineLevel="2">
      <c r="A9" s="511" t="s">
        <v>82</v>
      </c>
      <c r="B9" s="345"/>
      <c r="C9" s="525"/>
      <c r="D9" s="525"/>
      <c r="E9" s="526">
        <f>E11*$K$11+E13*$K$13+E15*$K$15+E21*$K$21+E31*$K$31+E33*$K$33+E27*$K$27+E17*$K$17+E19*$K$19+E23*$K$23+E25*$K$25+E29*$K$29</f>
        <v>0.46</v>
      </c>
      <c r="F9" s="606"/>
      <c r="G9" s="526"/>
      <c r="H9" s="525"/>
      <c r="I9" s="651"/>
      <c r="J9" s="526">
        <f>J11*$L$11+J13*$L$13+J15*$L$15+J21*$L$21+J31*$L$31+J33*$L$33+J27*$L$27+J17*$L$17+J19*$L$19+J23*$L$23+J25*$L$25+J29*$L$29</f>
        <v>0.11142857142857143</v>
      </c>
      <c r="K9" s="641">
        <v>0.2</v>
      </c>
      <c r="L9" s="641">
        <v>0.2</v>
      </c>
      <c r="M9" s="683">
        <f>+SUM(M10:M33)</f>
        <v>2730000000</v>
      </c>
      <c r="N9" s="683">
        <f>+SUM(N10:N33)</f>
        <v>1022391740</v>
      </c>
      <c r="O9" s="673">
        <f>+N9/M9</f>
        <v>0.37450246886446886</v>
      </c>
      <c r="P9" s="683">
        <f>+SUM(P10:P33)</f>
        <v>9800000000</v>
      </c>
      <c r="Q9" s="683">
        <f>+SUM(Q10:Q33)</f>
        <v>1022391740</v>
      </c>
      <c r="R9" s="673">
        <f>+Q9/P9</f>
        <v>0.10432568775510204</v>
      </c>
      <c r="S9" s="468"/>
      <c r="T9" s="473"/>
      <c r="U9" s="472"/>
      <c r="V9" s="474"/>
    </row>
    <row r="10" spans="1:22" ht="25.5" outlineLevel="3">
      <c r="A10" s="342" t="s">
        <v>83</v>
      </c>
      <c r="B10" s="343"/>
      <c r="C10" s="527"/>
      <c r="D10" s="527"/>
      <c r="E10" s="528"/>
      <c r="F10" s="607"/>
      <c r="G10" s="529"/>
      <c r="H10" s="527"/>
      <c r="I10" s="652"/>
      <c r="J10" s="653"/>
      <c r="K10" s="530"/>
      <c r="L10" s="530"/>
      <c r="M10" s="683">
        <v>1330000000</v>
      </c>
      <c r="N10" s="684">
        <v>100000000</v>
      </c>
      <c r="O10" s="673">
        <f>+N10/M10</f>
        <v>7.5187969924812026E-2</v>
      </c>
      <c r="P10" s="345">
        <v>1500000000</v>
      </c>
      <c r="Q10" s="684">
        <v>100000000</v>
      </c>
      <c r="R10" s="673">
        <f>+Q10/P10</f>
        <v>6.6666666666666666E-2</v>
      </c>
      <c r="S10" s="468"/>
      <c r="T10" s="473"/>
      <c r="U10" s="472"/>
      <c r="V10" s="474"/>
    </row>
    <row r="11" spans="1:22" ht="84.75" customHeight="1" outlineLevel="3">
      <c r="A11" s="342" t="s">
        <v>84</v>
      </c>
      <c r="B11" s="343" t="s">
        <v>85</v>
      </c>
      <c r="C11" s="527">
        <v>1</v>
      </c>
      <c r="D11" s="527">
        <v>0</v>
      </c>
      <c r="E11" s="530">
        <f>+D11/C11</f>
        <v>0</v>
      </c>
      <c r="F11" s="608" t="s">
        <v>86</v>
      </c>
      <c r="G11" s="529"/>
      <c r="H11" s="527">
        <v>1</v>
      </c>
      <c r="I11" s="652">
        <f>D11</f>
        <v>0</v>
      </c>
      <c r="J11" s="653">
        <f>+I11/H11</f>
        <v>0</v>
      </c>
      <c r="K11" s="530">
        <v>0.3</v>
      </c>
      <c r="L11" s="530">
        <v>0.15</v>
      </c>
      <c r="M11" s="683"/>
      <c r="N11" s="684"/>
      <c r="O11" s="525"/>
      <c r="P11" s="345"/>
      <c r="Q11" s="684"/>
      <c r="R11" s="525"/>
      <c r="S11" s="468"/>
      <c r="T11" s="473"/>
      <c r="U11" s="472"/>
      <c r="V11" s="474"/>
    </row>
    <row r="12" spans="1:22" ht="37.5" customHeight="1" outlineLevel="3">
      <c r="A12" s="342" t="s">
        <v>87</v>
      </c>
      <c r="B12" s="343"/>
      <c r="C12" s="527"/>
      <c r="D12" s="527"/>
      <c r="E12" s="528"/>
      <c r="F12" s="608"/>
      <c r="G12" s="529"/>
      <c r="H12" s="527"/>
      <c r="I12" s="652"/>
      <c r="J12" s="653"/>
      <c r="K12" s="530"/>
      <c r="L12" s="530"/>
      <c r="M12" s="683">
        <v>300000000</v>
      </c>
      <c r="N12" s="684">
        <v>60000000</v>
      </c>
      <c r="O12" s="673">
        <f>+N12/M12</f>
        <v>0.2</v>
      </c>
      <c r="P12" s="345">
        <v>800000000</v>
      </c>
      <c r="Q12" s="684">
        <v>60000000</v>
      </c>
      <c r="R12" s="673">
        <f>+Q12/P12</f>
        <v>7.4999999999999997E-2</v>
      </c>
      <c r="S12" s="468"/>
      <c r="T12" s="473"/>
      <c r="U12" s="472"/>
      <c r="V12" s="474"/>
    </row>
    <row r="13" spans="1:22" ht="106.5" customHeight="1" outlineLevel="3">
      <c r="A13" s="346" t="s">
        <v>88</v>
      </c>
      <c r="B13" s="343" t="s">
        <v>85</v>
      </c>
      <c r="C13" s="527">
        <v>1</v>
      </c>
      <c r="D13" s="527">
        <v>0</v>
      </c>
      <c r="E13" s="530">
        <f>+D13/C13</f>
        <v>0</v>
      </c>
      <c r="F13" s="608" t="s">
        <v>89</v>
      </c>
      <c r="G13" s="529"/>
      <c r="H13" s="527">
        <v>2</v>
      </c>
      <c r="I13" s="652">
        <f>D13</f>
        <v>0</v>
      </c>
      <c r="J13" s="653">
        <f>+I13/H13</f>
        <v>0</v>
      </c>
      <c r="K13" s="530">
        <v>0.12</v>
      </c>
      <c r="L13" s="530">
        <v>0.08</v>
      </c>
      <c r="M13" s="683"/>
      <c r="N13" s="684"/>
      <c r="O13" s="525"/>
      <c r="P13" s="345"/>
      <c r="Q13" s="684"/>
      <c r="R13" s="525"/>
      <c r="S13" s="468"/>
      <c r="T13" s="473"/>
      <c r="U13" s="472"/>
      <c r="V13" s="474"/>
    </row>
    <row r="14" spans="1:22" ht="25.5" outlineLevel="3">
      <c r="A14" s="342" t="s">
        <v>90</v>
      </c>
      <c r="B14" s="343"/>
      <c r="C14" s="527"/>
      <c r="D14" s="527"/>
      <c r="E14" s="528"/>
      <c r="F14" s="608"/>
      <c r="G14" s="529"/>
      <c r="H14" s="527"/>
      <c r="I14" s="652"/>
      <c r="J14" s="653"/>
      <c r="K14" s="530"/>
      <c r="L14" s="530"/>
      <c r="M14" s="684">
        <v>200000000</v>
      </c>
      <c r="N14" s="684">
        <v>199891740</v>
      </c>
      <c r="O14" s="673">
        <f>+N14/M14</f>
        <v>0.99945870000000003</v>
      </c>
      <c r="P14" s="345">
        <v>800000000</v>
      </c>
      <c r="Q14" s="684">
        <v>199891740</v>
      </c>
      <c r="R14" s="673">
        <f>+Q14/P14</f>
        <v>0.24986467500000001</v>
      </c>
      <c r="S14" s="468"/>
      <c r="T14" s="473"/>
      <c r="U14" s="472"/>
      <c r="V14" s="474"/>
    </row>
    <row r="15" spans="1:22" ht="84" customHeight="1" outlineLevel="3">
      <c r="A15" s="346" t="s">
        <v>91</v>
      </c>
      <c r="B15" s="343" t="s">
        <v>92</v>
      </c>
      <c r="C15" s="531">
        <v>0.1</v>
      </c>
      <c r="D15" s="531">
        <v>0.1</v>
      </c>
      <c r="E15" s="530">
        <f>+D15/C15</f>
        <v>1</v>
      </c>
      <c r="F15" s="608" t="s">
        <v>93</v>
      </c>
      <c r="G15" s="529"/>
      <c r="H15" s="531">
        <v>0.4</v>
      </c>
      <c r="I15" s="654">
        <f>D15</f>
        <v>0.1</v>
      </c>
      <c r="J15" s="653">
        <f>+I15/H15</f>
        <v>0.25</v>
      </c>
      <c r="K15" s="530">
        <v>0.12</v>
      </c>
      <c r="L15" s="530">
        <v>0.08</v>
      </c>
      <c r="M15" s="683"/>
      <c r="N15" s="684"/>
      <c r="P15" s="345"/>
      <c r="Q15" s="684"/>
      <c r="R15" s="669"/>
      <c r="S15" s="468"/>
      <c r="T15" s="473"/>
      <c r="U15" s="472"/>
      <c r="V15" s="474"/>
    </row>
    <row r="16" spans="1:22" ht="25.5" outlineLevel="3">
      <c r="A16" s="342" t="s">
        <v>94</v>
      </c>
      <c r="B16" s="343"/>
      <c r="C16" s="527"/>
      <c r="D16" s="527"/>
      <c r="E16" s="528"/>
      <c r="F16" s="608"/>
      <c r="G16" s="529"/>
      <c r="H16" s="527"/>
      <c r="I16" s="652"/>
      <c r="J16" s="653"/>
      <c r="K16" s="530"/>
      <c r="L16" s="530"/>
      <c r="M16" s="684">
        <v>0</v>
      </c>
      <c r="N16" s="684">
        <v>0</v>
      </c>
      <c r="O16" s="673"/>
      <c r="P16" s="345">
        <v>600000000</v>
      </c>
      <c r="Q16" s="684">
        <v>0</v>
      </c>
      <c r="R16" s="673">
        <f>+Q16/P16</f>
        <v>0</v>
      </c>
      <c r="S16" s="468"/>
      <c r="T16" s="473"/>
      <c r="U16" s="472"/>
      <c r="V16" s="474"/>
    </row>
    <row r="17" spans="1:22" outlineLevel="3">
      <c r="A17" s="346" t="s">
        <v>95</v>
      </c>
      <c r="B17" s="343" t="s">
        <v>92</v>
      </c>
      <c r="C17" s="527">
        <v>0</v>
      </c>
      <c r="D17" s="527">
        <v>0</v>
      </c>
      <c r="E17" s="528">
        <v>0</v>
      </c>
      <c r="F17" s="608"/>
      <c r="G17" s="529"/>
      <c r="H17" s="531">
        <v>0.3</v>
      </c>
      <c r="I17" s="652">
        <f>D17</f>
        <v>0</v>
      </c>
      <c r="J17" s="653">
        <f>+I17/H17</f>
        <v>0</v>
      </c>
      <c r="K17" s="530">
        <v>0</v>
      </c>
      <c r="L17" s="530">
        <v>0.05</v>
      </c>
      <c r="M17" s="684"/>
      <c r="N17" s="684"/>
      <c r="O17" s="525"/>
      <c r="P17" s="345"/>
      <c r="Q17" s="684"/>
      <c r="R17" s="525"/>
      <c r="S17" s="468"/>
      <c r="T17" s="473"/>
      <c r="U17" s="472"/>
      <c r="V17" s="474"/>
    </row>
    <row r="18" spans="1:22" outlineLevel="3">
      <c r="A18" s="342" t="s">
        <v>96</v>
      </c>
      <c r="B18" s="343"/>
      <c r="C18" s="527"/>
      <c r="D18" s="527"/>
      <c r="E18" s="528"/>
      <c r="F18" s="608"/>
      <c r="G18" s="529"/>
      <c r="H18" s="527"/>
      <c r="I18" s="652"/>
      <c r="J18" s="653"/>
      <c r="K18" s="530"/>
      <c r="L18" s="530"/>
      <c r="M18" s="684">
        <v>0</v>
      </c>
      <c r="N18" s="684">
        <v>0</v>
      </c>
      <c r="O18" s="525"/>
      <c r="P18" s="345">
        <v>600000000</v>
      </c>
      <c r="Q18" s="684">
        <v>0</v>
      </c>
      <c r="R18" s="673">
        <f>+Q18/P18</f>
        <v>0</v>
      </c>
      <c r="S18" s="468"/>
      <c r="T18" s="473"/>
      <c r="U18" s="472"/>
      <c r="V18" s="474"/>
    </row>
    <row r="19" spans="1:22" ht="25.5" outlineLevel="3">
      <c r="A19" s="346" t="s">
        <v>97</v>
      </c>
      <c r="B19" s="343" t="s">
        <v>92</v>
      </c>
      <c r="C19" s="527">
        <v>0</v>
      </c>
      <c r="D19" s="527">
        <v>0</v>
      </c>
      <c r="E19" s="528">
        <v>0</v>
      </c>
      <c r="F19" s="608"/>
      <c r="G19" s="529"/>
      <c r="H19" s="531">
        <v>0.3</v>
      </c>
      <c r="I19" s="652">
        <f>D19</f>
        <v>0</v>
      </c>
      <c r="J19" s="653">
        <f>+I19/H19</f>
        <v>0</v>
      </c>
      <c r="K19" s="530">
        <v>0</v>
      </c>
      <c r="L19" s="530">
        <v>0.05</v>
      </c>
      <c r="M19" s="683"/>
      <c r="N19" s="684"/>
      <c r="O19" s="525"/>
      <c r="P19" s="345"/>
      <c r="Q19" s="684"/>
      <c r="R19" s="525"/>
      <c r="S19" s="468"/>
      <c r="T19" s="473"/>
      <c r="U19" s="472"/>
      <c r="V19" s="474"/>
    </row>
    <row r="20" spans="1:22" ht="41.25" customHeight="1" outlineLevel="3">
      <c r="A20" s="342" t="s">
        <v>98</v>
      </c>
      <c r="B20" s="343"/>
      <c r="C20" s="527"/>
      <c r="D20" s="527"/>
      <c r="E20" s="528"/>
      <c r="F20" s="608"/>
      <c r="G20" s="529"/>
      <c r="H20" s="527"/>
      <c r="I20" s="652"/>
      <c r="J20" s="653"/>
      <c r="K20" s="530"/>
      <c r="L20" s="530"/>
      <c r="M20" s="684">
        <v>600000000</v>
      </c>
      <c r="N20" s="684">
        <v>600000000</v>
      </c>
      <c r="O20" s="673">
        <f>+N20/M20</f>
        <v>1</v>
      </c>
      <c r="P20" s="345">
        <v>700000000</v>
      </c>
      <c r="Q20" s="684">
        <v>600000000</v>
      </c>
      <c r="R20" s="673">
        <f>+Q20/P20</f>
        <v>0.8571428571428571</v>
      </c>
      <c r="S20" s="468"/>
      <c r="T20" s="473"/>
      <c r="U20" s="472"/>
      <c r="V20" s="474"/>
    </row>
    <row r="21" spans="1:22" ht="93.75" customHeight="1" outlineLevel="3">
      <c r="A21" s="346" t="s">
        <v>99</v>
      </c>
      <c r="B21" s="343" t="s">
        <v>85</v>
      </c>
      <c r="C21" s="527">
        <v>1</v>
      </c>
      <c r="D21" s="527">
        <v>0</v>
      </c>
      <c r="E21" s="530">
        <f>+D21/C21</f>
        <v>0</v>
      </c>
      <c r="F21" s="608" t="s">
        <v>100</v>
      </c>
      <c r="G21" s="529"/>
      <c r="H21" s="527">
        <v>1</v>
      </c>
      <c r="I21" s="652">
        <f>D21</f>
        <v>0</v>
      </c>
      <c r="J21" s="653">
        <f>+I21/H21</f>
        <v>0</v>
      </c>
      <c r="K21" s="530">
        <v>0.12</v>
      </c>
      <c r="L21" s="530">
        <v>0.08</v>
      </c>
      <c r="M21" s="683"/>
      <c r="N21" s="684"/>
      <c r="Q21" s="684"/>
      <c r="R21" s="669"/>
      <c r="S21" s="468"/>
      <c r="T21" s="473"/>
      <c r="U21" s="472"/>
      <c r="V21" s="474"/>
    </row>
    <row r="22" spans="1:22" ht="25.5" outlineLevel="3">
      <c r="A22" s="342" t="s">
        <v>101</v>
      </c>
      <c r="B22" s="343"/>
      <c r="C22" s="527"/>
      <c r="D22" s="527"/>
      <c r="E22" s="528"/>
      <c r="F22" s="608"/>
      <c r="G22" s="529"/>
      <c r="H22" s="527"/>
      <c r="I22" s="652"/>
      <c r="J22" s="653"/>
      <c r="K22" s="530"/>
      <c r="L22" s="530"/>
      <c r="M22" s="683">
        <v>0</v>
      </c>
      <c r="N22" s="684">
        <v>0</v>
      </c>
      <c r="O22" s="525"/>
      <c r="P22" s="345">
        <v>800000000</v>
      </c>
      <c r="Q22" s="684">
        <v>0</v>
      </c>
      <c r="R22" s="673">
        <f>+Q22/P22</f>
        <v>0</v>
      </c>
      <c r="S22" s="468"/>
      <c r="T22" s="473"/>
      <c r="U22" s="472"/>
      <c r="V22" s="474"/>
    </row>
    <row r="23" spans="1:22" outlineLevel="3">
      <c r="A23" s="346" t="s">
        <v>102</v>
      </c>
      <c r="B23" s="343" t="s">
        <v>103</v>
      </c>
      <c r="C23" s="527">
        <v>0</v>
      </c>
      <c r="D23" s="527">
        <v>0</v>
      </c>
      <c r="E23" s="528">
        <v>0</v>
      </c>
      <c r="F23" s="608"/>
      <c r="G23" s="529"/>
      <c r="H23" s="527">
        <v>1</v>
      </c>
      <c r="I23" s="652">
        <f>D23</f>
        <v>0</v>
      </c>
      <c r="J23" s="653">
        <f>+I23/H23</f>
        <v>0</v>
      </c>
      <c r="K23" s="530">
        <v>0</v>
      </c>
      <c r="L23" s="530">
        <v>0.08</v>
      </c>
      <c r="M23" s="683"/>
      <c r="N23" s="684"/>
      <c r="O23" s="525"/>
      <c r="P23" s="345"/>
      <c r="Q23" s="684"/>
      <c r="R23" s="525"/>
      <c r="S23" s="468"/>
      <c r="T23" s="473"/>
      <c r="U23" s="472"/>
      <c r="V23" s="474"/>
    </row>
    <row r="24" spans="1:22" ht="25.5" outlineLevel="3">
      <c r="A24" s="342" t="s">
        <v>104</v>
      </c>
      <c r="B24" s="343"/>
      <c r="C24" s="527"/>
      <c r="D24" s="527"/>
      <c r="E24" s="528"/>
      <c r="F24" s="608"/>
      <c r="G24" s="529"/>
      <c r="H24" s="527"/>
      <c r="I24" s="652"/>
      <c r="J24" s="653"/>
      <c r="K24" s="530"/>
      <c r="L24" s="530"/>
      <c r="M24" s="683">
        <v>0</v>
      </c>
      <c r="N24" s="684">
        <v>0</v>
      </c>
      <c r="O24" s="525"/>
      <c r="P24" s="345">
        <v>700000000</v>
      </c>
      <c r="Q24" s="684">
        <v>0</v>
      </c>
      <c r="R24" s="673">
        <f>+Q24/P24</f>
        <v>0</v>
      </c>
      <c r="S24" s="468"/>
      <c r="T24" s="473"/>
      <c r="U24" s="472"/>
      <c r="V24" s="474"/>
    </row>
    <row r="25" spans="1:22" outlineLevel="3">
      <c r="A25" s="346" t="s">
        <v>105</v>
      </c>
      <c r="B25" s="343" t="s">
        <v>85</v>
      </c>
      <c r="C25" s="527">
        <v>0</v>
      </c>
      <c r="D25" s="527">
        <v>0</v>
      </c>
      <c r="E25" s="528">
        <v>0</v>
      </c>
      <c r="F25" s="608"/>
      <c r="G25" s="529"/>
      <c r="H25" s="527">
        <v>1</v>
      </c>
      <c r="I25" s="652">
        <f>D25</f>
        <v>0</v>
      </c>
      <c r="J25" s="653">
        <f>+I25/H25</f>
        <v>0</v>
      </c>
      <c r="K25" s="530">
        <v>0</v>
      </c>
      <c r="L25" s="530">
        <v>0.08</v>
      </c>
      <c r="M25" s="683"/>
      <c r="N25" s="684"/>
      <c r="O25" s="525"/>
      <c r="P25" s="345"/>
      <c r="Q25" s="684"/>
      <c r="R25" s="525"/>
      <c r="S25" s="468"/>
      <c r="T25" s="473"/>
      <c r="U25" s="472"/>
      <c r="V25" s="474"/>
    </row>
    <row r="26" spans="1:22" ht="25.5" outlineLevel="3">
      <c r="A26" s="342" t="s">
        <v>106</v>
      </c>
      <c r="B26" s="343"/>
      <c r="C26" s="527"/>
      <c r="D26" s="527"/>
      <c r="E26" s="528"/>
      <c r="F26" s="608"/>
      <c r="G26" s="529"/>
      <c r="H26" s="527"/>
      <c r="I26" s="652"/>
      <c r="J26" s="653"/>
      <c r="K26" s="530"/>
      <c r="L26" s="530"/>
      <c r="M26" s="683">
        <v>100000000</v>
      </c>
      <c r="N26" s="684">
        <v>27500000</v>
      </c>
      <c r="O26" s="673">
        <f>+N26/M26</f>
        <v>0.27500000000000002</v>
      </c>
      <c r="P26" s="345">
        <v>100000000</v>
      </c>
      <c r="Q26" s="684">
        <v>27500000</v>
      </c>
      <c r="R26" s="673">
        <f>+Q26/P26</f>
        <v>0.27500000000000002</v>
      </c>
      <c r="S26" s="468"/>
      <c r="T26" s="473"/>
      <c r="U26" s="472"/>
      <c r="V26" s="474"/>
    </row>
    <row r="27" spans="1:22" ht="71.25" customHeight="1" outlineLevel="3">
      <c r="A27" s="346" t="s">
        <v>107</v>
      </c>
      <c r="B27" s="343" t="s">
        <v>85</v>
      </c>
      <c r="C27" s="527">
        <v>1</v>
      </c>
      <c r="D27" s="527">
        <v>1</v>
      </c>
      <c r="E27" s="530">
        <f>+D27/C27</f>
        <v>1</v>
      </c>
      <c r="F27" s="608" t="s">
        <v>108</v>
      </c>
      <c r="G27" s="529"/>
      <c r="H27" s="527">
        <v>1</v>
      </c>
      <c r="I27" s="652">
        <f>D27</f>
        <v>1</v>
      </c>
      <c r="J27" s="653">
        <f>+I27/H27</f>
        <v>1</v>
      </c>
      <c r="K27" s="530">
        <v>0.05</v>
      </c>
      <c r="L27" s="530">
        <v>0.02</v>
      </c>
      <c r="M27" s="683"/>
      <c r="N27" s="684"/>
      <c r="O27" s="525"/>
      <c r="P27" s="345"/>
      <c r="Q27" s="684"/>
      <c r="R27" s="525"/>
      <c r="S27" s="468"/>
      <c r="T27" s="473"/>
      <c r="U27" s="472"/>
      <c r="V27" s="474"/>
    </row>
    <row r="28" spans="1:22" ht="25.5" outlineLevel="3">
      <c r="A28" s="342" t="s">
        <v>109</v>
      </c>
      <c r="B28" s="343"/>
      <c r="C28" s="527"/>
      <c r="D28" s="527"/>
      <c r="E28" s="528"/>
      <c r="F28" s="608"/>
      <c r="G28" s="529"/>
      <c r="H28" s="527"/>
      <c r="I28" s="652"/>
      <c r="J28" s="653"/>
      <c r="K28" s="530"/>
      <c r="L28" s="530"/>
      <c r="M28" s="683">
        <v>0</v>
      </c>
      <c r="N28" s="684">
        <v>0</v>
      </c>
      <c r="O28" s="525"/>
      <c r="P28" s="345">
        <v>1400000000</v>
      </c>
      <c r="Q28" s="684">
        <v>0</v>
      </c>
      <c r="R28" s="673">
        <f>+Q28/P28</f>
        <v>0</v>
      </c>
      <c r="S28" s="468"/>
      <c r="T28" s="473"/>
      <c r="U28" s="472"/>
      <c r="V28" s="474"/>
    </row>
    <row r="29" spans="1:22" outlineLevel="3">
      <c r="A29" s="346" t="s">
        <v>110</v>
      </c>
      <c r="B29" s="343" t="s">
        <v>85</v>
      </c>
      <c r="C29" s="527">
        <v>0</v>
      </c>
      <c r="D29" s="527">
        <v>0</v>
      </c>
      <c r="E29" s="528">
        <v>0</v>
      </c>
      <c r="F29" s="608"/>
      <c r="G29" s="529"/>
      <c r="H29" s="527">
        <v>2</v>
      </c>
      <c r="I29" s="652">
        <f>D29</f>
        <v>0</v>
      </c>
      <c r="J29" s="653">
        <f>+I29/H29</f>
        <v>0</v>
      </c>
      <c r="K29" s="530">
        <v>0</v>
      </c>
      <c r="L29" s="530">
        <v>0.15</v>
      </c>
      <c r="M29" s="683"/>
      <c r="N29" s="684"/>
      <c r="O29" s="525"/>
      <c r="P29" s="345"/>
      <c r="Q29" s="684"/>
      <c r="R29" s="525"/>
      <c r="S29" s="468"/>
      <c r="T29" s="473"/>
      <c r="U29" s="472"/>
      <c r="V29" s="474"/>
    </row>
    <row r="30" spans="1:22" ht="25.5" outlineLevel="3">
      <c r="A30" s="342" t="s">
        <v>111</v>
      </c>
      <c r="B30" s="343"/>
      <c r="C30" s="527"/>
      <c r="D30" s="527"/>
      <c r="E30" s="528"/>
      <c r="F30" s="608"/>
      <c r="G30" s="529"/>
      <c r="H30" s="527"/>
      <c r="I30" s="652"/>
      <c r="J30" s="653"/>
      <c r="K30" s="530"/>
      <c r="L30" s="530"/>
      <c r="M30" s="683">
        <v>100000000</v>
      </c>
      <c r="N30" s="684">
        <v>0</v>
      </c>
      <c r="O30" s="673">
        <f>+N30/M30</f>
        <v>0</v>
      </c>
      <c r="P30" s="345">
        <v>1100000000</v>
      </c>
      <c r="Q30" s="684">
        <v>0</v>
      </c>
      <c r="R30" s="673">
        <f>+Q30/P30</f>
        <v>0</v>
      </c>
      <c r="S30" s="468"/>
      <c r="T30" s="473"/>
      <c r="U30" s="472"/>
      <c r="V30" s="474"/>
    </row>
    <row r="31" spans="1:22" ht="42.75" customHeight="1" outlineLevel="3">
      <c r="A31" s="346" t="s">
        <v>112</v>
      </c>
      <c r="B31" s="343" t="s">
        <v>85</v>
      </c>
      <c r="C31" s="527">
        <v>3</v>
      </c>
      <c r="D31" s="527">
        <v>3</v>
      </c>
      <c r="E31" s="530">
        <f>+D31/C31</f>
        <v>1</v>
      </c>
      <c r="F31" s="608" t="s">
        <v>113</v>
      </c>
      <c r="G31" s="529"/>
      <c r="H31" s="527">
        <v>5</v>
      </c>
      <c r="I31" s="652">
        <f>D31</f>
        <v>3</v>
      </c>
      <c r="J31" s="653">
        <f>+I31/H31</f>
        <v>0.6</v>
      </c>
      <c r="K31" s="530">
        <v>0.17</v>
      </c>
      <c r="L31" s="530">
        <v>0.1</v>
      </c>
      <c r="M31" s="683"/>
      <c r="N31" s="684"/>
      <c r="O31" s="525"/>
      <c r="P31" s="345"/>
      <c r="Q31" s="684"/>
      <c r="R31" s="525"/>
      <c r="S31" s="468"/>
      <c r="T31" s="473"/>
      <c r="U31" s="472"/>
      <c r="V31" s="474"/>
    </row>
    <row r="32" spans="1:22" ht="40.5" customHeight="1" outlineLevel="3">
      <c r="A32" s="342" t="s">
        <v>114</v>
      </c>
      <c r="B32" s="343"/>
      <c r="C32" s="527"/>
      <c r="D32" s="527"/>
      <c r="E32" s="528"/>
      <c r="F32" s="608"/>
      <c r="G32" s="529"/>
      <c r="H32" s="527"/>
      <c r="I32" s="652"/>
      <c r="J32" s="653"/>
      <c r="K32" s="530"/>
      <c r="L32" s="530"/>
      <c r="M32" s="683">
        <v>100000000</v>
      </c>
      <c r="N32" s="684">
        <v>35000000</v>
      </c>
      <c r="O32" s="673">
        <f>+N32/M32</f>
        <v>0.35</v>
      </c>
      <c r="P32" s="345">
        <v>700000000</v>
      </c>
      <c r="Q32" s="684">
        <v>35000000</v>
      </c>
      <c r="R32" s="673">
        <f>+Q32/P32</f>
        <v>0.05</v>
      </c>
      <c r="S32" s="468"/>
      <c r="T32" s="473"/>
      <c r="U32" s="472"/>
      <c r="V32" s="474"/>
    </row>
    <row r="33" spans="1:22" ht="61.5" customHeight="1" outlineLevel="3">
      <c r="A33" s="346" t="s">
        <v>115</v>
      </c>
      <c r="B33" s="343" t="s">
        <v>103</v>
      </c>
      <c r="C33" s="527">
        <v>1</v>
      </c>
      <c r="D33" s="527">
        <v>1</v>
      </c>
      <c r="E33" s="530">
        <f>+D33/C33</f>
        <v>1</v>
      </c>
      <c r="F33" s="608" t="s">
        <v>116</v>
      </c>
      <c r="G33" s="529"/>
      <c r="H33" s="527">
        <v>7</v>
      </c>
      <c r="I33" s="652">
        <f>D33</f>
        <v>1</v>
      </c>
      <c r="J33" s="653">
        <f>+I33/H33</f>
        <v>0.14285714285714285</v>
      </c>
      <c r="K33" s="530">
        <v>0.12</v>
      </c>
      <c r="L33" s="530">
        <v>0.08</v>
      </c>
      <c r="M33" s="683"/>
      <c r="N33" s="684"/>
      <c r="O33" s="525"/>
      <c r="P33" s="345"/>
      <c r="Q33" s="684"/>
      <c r="R33" s="525"/>
      <c r="S33" s="468"/>
      <c r="T33" s="473"/>
      <c r="U33" s="472"/>
      <c r="V33" s="474"/>
    </row>
    <row r="34" spans="1:22" ht="39.75" customHeight="1" outlineLevel="2">
      <c r="A34" s="511" t="s">
        <v>117</v>
      </c>
      <c r="B34" s="345"/>
      <c r="C34" s="525"/>
      <c r="D34" s="525"/>
      <c r="E34" s="526">
        <f>+E36*$K$36+E38*$K$38</f>
        <v>1</v>
      </c>
      <c r="F34" s="609"/>
      <c r="G34" s="526"/>
      <c r="H34" s="525"/>
      <c r="I34" s="651"/>
      <c r="J34" s="526">
        <f>+J36*$L$36+J38*$L$38</f>
        <v>0.23214285714285715</v>
      </c>
      <c r="K34" s="641">
        <v>0.1</v>
      </c>
      <c r="L34" s="641">
        <v>0.1</v>
      </c>
      <c r="M34" s="683">
        <f>+SUM(M35:M38)</f>
        <v>300000000</v>
      </c>
      <c r="N34" s="683">
        <f>+SUM(N35:N38)</f>
        <v>191150000</v>
      </c>
      <c r="O34" s="673">
        <f>+N34/M34</f>
        <v>0.63716666666666666</v>
      </c>
      <c r="P34" s="683">
        <f>+SUM(P35:P38)</f>
        <v>2100000000</v>
      </c>
      <c r="Q34" s="683">
        <f>+SUM(Q35:Q38)</f>
        <v>191150000</v>
      </c>
      <c r="R34" s="673">
        <f>+Q34/P34</f>
        <v>9.1023809523809521E-2</v>
      </c>
      <c r="S34" s="468"/>
      <c r="T34" s="473"/>
      <c r="U34" s="472"/>
      <c r="V34" s="474"/>
    </row>
    <row r="35" spans="1:22" ht="25.5" outlineLevel="3">
      <c r="A35" s="342" t="s">
        <v>118</v>
      </c>
      <c r="B35" s="343"/>
      <c r="C35" s="527"/>
      <c r="D35" s="527"/>
      <c r="E35" s="528"/>
      <c r="F35" s="608"/>
      <c r="G35" s="529"/>
      <c r="H35" s="527"/>
      <c r="I35" s="652"/>
      <c r="J35" s="653"/>
      <c r="K35" s="530"/>
      <c r="L35" s="530"/>
      <c r="M35" s="683">
        <v>200000000</v>
      </c>
      <c r="N35" s="684">
        <v>151150000</v>
      </c>
      <c r="O35" s="673">
        <f>+N35/M35</f>
        <v>0.75575000000000003</v>
      </c>
      <c r="P35" s="345">
        <v>1400000000</v>
      </c>
      <c r="Q35" s="684">
        <v>151150000</v>
      </c>
      <c r="R35" s="673">
        <f>+Q35/P35</f>
        <v>0.10796428571428572</v>
      </c>
      <c r="S35" s="468"/>
      <c r="T35" s="473"/>
      <c r="U35" s="472"/>
      <c r="V35" s="474"/>
    </row>
    <row r="36" spans="1:22" ht="77.25" customHeight="1" outlineLevel="3">
      <c r="A36" s="483" t="s">
        <v>119</v>
      </c>
      <c r="B36" s="343" t="s">
        <v>120</v>
      </c>
      <c r="C36" s="527">
        <v>1</v>
      </c>
      <c r="D36" s="527">
        <v>1</v>
      </c>
      <c r="E36" s="530">
        <f>+D36/C36</f>
        <v>1</v>
      </c>
      <c r="F36" s="608" t="s">
        <v>121</v>
      </c>
      <c r="G36" s="529"/>
      <c r="H36" s="527">
        <v>4</v>
      </c>
      <c r="I36" s="652">
        <f>D36</f>
        <v>1</v>
      </c>
      <c r="J36" s="653">
        <f>+I36/H36</f>
        <v>0.25</v>
      </c>
      <c r="K36" s="530">
        <v>0.5</v>
      </c>
      <c r="L36" s="530">
        <v>0.5</v>
      </c>
      <c r="M36" s="683"/>
      <c r="N36" s="684"/>
      <c r="O36" s="525"/>
      <c r="P36" s="345"/>
      <c r="Q36" s="684"/>
      <c r="R36" s="525"/>
      <c r="S36" s="468"/>
      <c r="T36" s="473"/>
      <c r="U36" s="472"/>
      <c r="V36" s="474"/>
    </row>
    <row r="37" spans="1:22" ht="38.25" outlineLevel="3">
      <c r="A37" s="342" t="s">
        <v>122</v>
      </c>
      <c r="B37" s="343"/>
      <c r="C37" s="527"/>
      <c r="D37" s="527"/>
      <c r="E37" s="528"/>
      <c r="F37" s="608"/>
      <c r="G37" s="529"/>
      <c r="H37" s="527"/>
      <c r="I37" s="652"/>
      <c r="J37" s="653"/>
      <c r="K37" s="530"/>
      <c r="L37" s="530"/>
      <c r="M37" s="683">
        <v>100000000</v>
      </c>
      <c r="N37" s="684">
        <v>40000000</v>
      </c>
      <c r="O37" s="673">
        <f>+N37/M37</f>
        <v>0.4</v>
      </c>
      <c r="P37" s="345">
        <v>700000000</v>
      </c>
      <c r="Q37" s="684">
        <v>40000000</v>
      </c>
      <c r="R37" s="673">
        <f>+Q37/P37</f>
        <v>5.7142857142857141E-2</v>
      </c>
      <c r="S37" s="468"/>
      <c r="T37" s="473"/>
      <c r="U37" s="472"/>
      <c r="V37" s="474"/>
    </row>
    <row r="38" spans="1:22" ht="70.5" customHeight="1" outlineLevel="3">
      <c r="A38" s="483" t="s">
        <v>123</v>
      </c>
      <c r="B38" s="343" t="s">
        <v>124</v>
      </c>
      <c r="C38" s="527">
        <v>3</v>
      </c>
      <c r="D38" s="527">
        <v>3</v>
      </c>
      <c r="E38" s="530">
        <f>+D38/C38</f>
        <v>1</v>
      </c>
      <c r="F38" s="608" t="s">
        <v>125</v>
      </c>
      <c r="G38" s="529"/>
      <c r="H38" s="527">
        <v>14</v>
      </c>
      <c r="I38" s="652">
        <f>D38</f>
        <v>3</v>
      </c>
      <c r="J38" s="653">
        <f>+I38/H38</f>
        <v>0.21428571428571427</v>
      </c>
      <c r="K38" s="530">
        <v>0.5</v>
      </c>
      <c r="L38" s="530">
        <v>0.5</v>
      </c>
      <c r="M38" s="683"/>
      <c r="N38" s="684"/>
      <c r="O38" s="525"/>
      <c r="P38" s="345"/>
      <c r="Q38" s="684"/>
      <c r="R38" s="525"/>
      <c r="S38" s="468"/>
      <c r="T38" s="473"/>
      <c r="U38" s="472"/>
      <c r="V38" s="474"/>
    </row>
    <row r="39" spans="1:22" ht="30.75" customHeight="1" outlineLevel="2">
      <c r="A39" s="511" t="s">
        <v>126</v>
      </c>
      <c r="B39" s="345"/>
      <c r="C39" s="525"/>
      <c r="D39" s="525"/>
      <c r="E39" s="645">
        <f>E41*$K$41+E43*$K$43+E45*$K$45+E47*$K$47+E49*$K$49</f>
        <v>0.70000000000000007</v>
      </c>
      <c r="F39" s="609"/>
      <c r="G39" s="645"/>
      <c r="H39" s="525"/>
      <c r="I39" s="651"/>
      <c r="J39" s="645">
        <f>J41*$L$41+J43*$L$43+J45*$L$45+J47*$L$47+J49*$L$49</f>
        <v>0.17500000000000002</v>
      </c>
      <c r="K39" s="641">
        <v>0.7</v>
      </c>
      <c r="L39" s="641">
        <v>0.7</v>
      </c>
      <c r="M39" s="683">
        <f>+SUM(M40:M49)</f>
        <v>16890000000</v>
      </c>
      <c r="N39" s="683">
        <f>+SUM(N40:N49)</f>
        <v>4965508956.4099998</v>
      </c>
      <c r="O39" s="673">
        <f>+N39/M39</f>
        <v>0.29399105721788038</v>
      </c>
      <c r="P39" s="683">
        <f>+SUM(P40:P49)</f>
        <v>44135000000</v>
      </c>
      <c r="Q39" s="683">
        <f>+SUM(Q40:Q49)</f>
        <v>4965508956.4099998</v>
      </c>
      <c r="R39" s="673">
        <f>+Q39/P39</f>
        <v>0.11250728348045769</v>
      </c>
      <c r="S39" s="468"/>
      <c r="T39" s="473"/>
      <c r="U39" s="472"/>
      <c r="V39" s="474"/>
    </row>
    <row r="40" spans="1:22" ht="25.5" outlineLevel="3">
      <c r="A40" s="342" t="s">
        <v>127</v>
      </c>
      <c r="B40" s="343"/>
      <c r="C40" s="527"/>
      <c r="D40" s="527"/>
      <c r="E40" s="528"/>
      <c r="F40" s="608"/>
      <c r="G40" s="529"/>
      <c r="H40" s="527"/>
      <c r="I40" s="652"/>
      <c r="J40" s="653"/>
      <c r="K40" s="530"/>
      <c r="L40" s="530"/>
      <c r="M40" s="683">
        <v>400000000</v>
      </c>
      <c r="N40" s="684">
        <v>399801255.61000001</v>
      </c>
      <c r="O40" s="673">
        <f>+N40/M40</f>
        <v>0.99950313902499999</v>
      </c>
      <c r="P40" s="345">
        <v>2000000000</v>
      </c>
      <c r="Q40" s="684">
        <v>399801255.61000001</v>
      </c>
      <c r="R40" s="673">
        <f>+Q40/P40</f>
        <v>0.19990062780500001</v>
      </c>
      <c r="S40" s="468"/>
      <c r="T40" s="473"/>
      <c r="U40" s="472"/>
      <c r="V40" s="474"/>
    </row>
    <row r="41" spans="1:22" ht="65.25" customHeight="1" outlineLevel="3">
      <c r="A41" s="342" t="s">
        <v>128</v>
      </c>
      <c r="B41" s="343" t="s">
        <v>129</v>
      </c>
      <c r="C41" s="527">
        <v>1</v>
      </c>
      <c r="D41" s="527">
        <v>0</v>
      </c>
      <c r="E41" s="530">
        <f>+D41/C41</f>
        <v>0</v>
      </c>
      <c r="F41" s="608" t="s">
        <v>130</v>
      </c>
      <c r="G41" s="529"/>
      <c r="H41" s="527">
        <v>4</v>
      </c>
      <c r="I41" s="652">
        <f>D41</f>
        <v>0</v>
      </c>
      <c r="J41" s="653">
        <f>+I41/H41</f>
        <v>0</v>
      </c>
      <c r="K41" s="530">
        <v>0.1</v>
      </c>
      <c r="L41" s="530">
        <v>0.1</v>
      </c>
      <c r="M41" s="683"/>
      <c r="N41" s="684"/>
      <c r="O41" s="525"/>
      <c r="P41" s="345"/>
      <c r="Q41" s="684"/>
      <c r="R41" s="525"/>
      <c r="S41" s="468"/>
      <c r="T41" s="473"/>
      <c r="U41" s="472"/>
      <c r="V41" s="474"/>
    </row>
    <row r="42" spans="1:22" ht="39.75" customHeight="1" outlineLevel="3">
      <c r="A42" s="342" t="s">
        <v>131</v>
      </c>
      <c r="B42" s="343"/>
      <c r="C42" s="527"/>
      <c r="D42" s="527"/>
      <c r="E42" s="528"/>
      <c r="F42" s="608"/>
      <c r="G42" s="529"/>
      <c r="H42" s="527"/>
      <c r="I42" s="652"/>
      <c r="J42" s="653"/>
      <c r="K42" s="530"/>
      <c r="L42" s="530"/>
      <c r="M42" s="683">
        <v>11490000000</v>
      </c>
      <c r="N42" s="684">
        <v>149750000</v>
      </c>
      <c r="O42" s="673">
        <f>+N42/M42</f>
        <v>1.3033072236727589E-2</v>
      </c>
      <c r="P42" s="345">
        <f>20900000000+940000000</f>
        <v>21840000000</v>
      </c>
      <c r="Q42" s="684">
        <v>149750000</v>
      </c>
      <c r="R42" s="673">
        <f>+Q42/P42</f>
        <v>6.8566849816849816E-3</v>
      </c>
      <c r="S42" s="468"/>
      <c r="T42" s="473"/>
      <c r="U42" s="472"/>
      <c r="V42" s="474"/>
    </row>
    <row r="43" spans="1:22" ht="95.1" customHeight="1" outlineLevel="3">
      <c r="A43" s="342" t="s">
        <v>132</v>
      </c>
      <c r="B43" s="343" t="s">
        <v>133</v>
      </c>
      <c r="C43" s="527">
        <v>1</v>
      </c>
      <c r="D43" s="527">
        <v>1</v>
      </c>
      <c r="E43" s="530">
        <f>+D43/C43</f>
        <v>1</v>
      </c>
      <c r="F43" s="608" t="s">
        <v>134</v>
      </c>
      <c r="G43" s="529"/>
      <c r="H43" s="527">
        <v>4</v>
      </c>
      <c r="I43" s="652">
        <f>D43</f>
        <v>1</v>
      </c>
      <c r="J43" s="653">
        <f>+I43/H43</f>
        <v>0.25</v>
      </c>
      <c r="K43" s="530">
        <v>0.4</v>
      </c>
      <c r="L43" s="530">
        <v>0.4</v>
      </c>
      <c r="M43" s="685"/>
      <c r="N43" s="686"/>
      <c r="O43" s="525"/>
      <c r="P43" s="345"/>
      <c r="Q43" s="686"/>
      <c r="R43" s="525"/>
      <c r="S43" s="468"/>
      <c r="T43" s="473"/>
      <c r="U43" s="472"/>
      <c r="V43" s="474"/>
    </row>
    <row r="44" spans="1:22" ht="25.5" outlineLevel="3">
      <c r="A44" s="342" t="s">
        <v>135</v>
      </c>
      <c r="B44" s="347"/>
      <c r="C44" s="532"/>
      <c r="D44" s="532"/>
      <c r="E44" s="533"/>
      <c r="F44" s="610"/>
      <c r="G44" s="534"/>
      <c r="H44" s="532"/>
      <c r="I44" s="655"/>
      <c r="J44" s="656"/>
      <c r="K44" s="637"/>
      <c r="L44" s="637"/>
      <c r="M44" s="685">
        <v>2980000000</v>
      </c>
      <c r="N44" s="686">
        <v>2817080389.8000002</v>
      </c>
      <c r="O44" s="673">
        <f>+N44/M44</f>
        <v>0.94532898986577185</v>
      </c>
      <c r="P44" s="349">
        <f>5950000000+980000000</f>
        <v>6930000000</v>
      </c>
      <c r="Q44" s="686">
        <v>2817080389.8000002</v>
      </c>
      <c r="R44" s="673">
        <f>+Q44/P44</f>
        <v>0.4065051067532468</v>
      </c>
      <c r="S44" s="469"/>
      <c r="T44" s="473"/>
      <c r="U44" s="472"/>
      <c r="V44" s="474"/>
    </row>
    <row r="45" spans="1:22" ht="82.5" customHeight="1" outlineLevel="3">
      <c r="A45" s="342" t="s">
        <v>136</v>
      </c>
      <c r="B45" s="343" t="s">
        <v>133</v>
      </c>
      <c r="C45" s="532">
        <v>1</v>
      </c>
      <c r="D45" s="532">
        <v>0</v>
      </c>
      <c r="E45" s="530">
        <f>+D45/C45</f>
        <v>0</v>
      </c>
      <c r="F45" s="610" t="s">
        <v>137</v>
      </c>
      <c r="G45" s="534"/>
      <c r="H45" s="532">
        <v>4</v>
      </c>
      <c r="I45" s="655">
        <f>D45</f>
        <v>0</v>
      </c>
      <c r="J45" s="656">
        <f>+I45/H45</f>
        <v>0</v>
      </c>
      <c r="K45" s="637">
        <v>0.2</v>
      </c>
      <c r="L45" s="637">
        <v>0.2</v>
      </c>
      <c r="M45" s="685"/>
      <c r="N45" s="686"/>
      <c r="O45" s="542"/>
      <c r="P45" s="349"/>
      <c r="Q45" s="686"/>
      <c r="R45" s="542"/>
      <c r="S45" s="469"/>
      <c r="T45" s="473"/>
      <c r="U45" s="472"/>
      <c r="V45" s="474"/>
    </row>
    <row r="46" spans="1:22" ht="25.5" outlineLevel="3">
      <c r="A46" s="342" t="s">
        <v>138</v>
      </c>
      <c r="B46" s="347"/>
      <c r="C46" s="532"/>
      <c r="D46" s="532"/>
      <c r="E46" s="533"/>
      <c r="F46" s="610"/>
      <c r="G46" s="534"/>
      <c r="H46" s="532"/>
      <c r="I46" s="655"/>
      <c r="J46" s="656"/>
      <c r="K46" s="637"/>
      <c r="L46" s="637"/>
      <c r="M46" s="685">
        <v>1620000000</v>
      </c>
      <c r="N46" s="686">
        <v>1573877311</v>
      </c>
      <c r="O46" s="673">
        <f>+N46/M46</f>
        <v>0.97152920432098766</v>
      </c>
      <c r="P46" s="349">
        <f>9795000000+420000000</f>
        <v>10215000000</v>
      </c>
      <c r="Q46" s="686">
        <v>1573877311</v>
      </c>
      <c r="R46" s="673">
        <f>+Q46/P46</f>
        <v>0.15407511610376898</v>
      </c>
      <c r="S46" s="469"/>
      <c r="T46" s="473"/>
      <c r="U46" s="472"/>
      <c r="V46" s="474"/>
    </row>
    <row r="47" spans="1:22" ht="96.75" customHeight="1" outlineLevel="3">
      <c r="A47" s="342" t="s">
        <v>139</v>
      </c>
      <c r="B47" s="343" t="s">
        <v>133</v>
      </c>
      <c r="C47" s="527">
        <v>1</v>
      </c>
      <c r="D47" s="599">
        <v>1</v>
      </c>
      <c r="E47" s="530">
        <f>+D47/C47</f>
        <v>1</v>
      </c>
      <c r="F47" s="608" t="s">
        <v>140</v>
      </c>
      <c r="G47" s="529"/>
      <c r="H47" s="528">
        <v>4</v>
      </c>
      <c r="I47" s="655">
        <f>D47</f>
        <v>1</v>
      </c>
      <c r="J47" s="656">
        <f>+I47/H47</f>
        <v>0.25</v>
      </c>
      <c r="K47" s="637">
        <v>0.2</v>
      </c>
      <c r="L47" s="637">
        <v>0.2</v>
      </c>
      <c r="M47" s="685"/>
      <c r="N47" s="686"/>
      <c r="O47" s="542"/>
      <c r="P47" s="349"/>
      <c r="Q47" s="686"/>
      <c r="R47" s="542"/>
      <c r="S47" s="469"/>
      <c r="T47" s="473"/>
      <c r="U47" s="472"/>
      <c r="V47" s="474"/>
    </row>
    <row r="48" spans="1:22" ht="42.75" customHeight="1" outlineLevel="3">
      <c r="A48" s="342" t="s">
        <v>141</v>
      </c>
      <c r="B48" s="347"/>
      <c r="C48" s="596"/>
      <c r="D48" s="596"/>
      <c r="E48" s="597"/>
      <c r="F48" s="611"/>
      <c r="G48" s="598"/>
      <c r="H48" s="596"/>
      <c r="I48" s="655"/>
      <c r="J48" s="656"/>
      <c r="K48" s="637"/>
      <c r="L48" s="637"/>
      <c r="M48" s="685">
        <v>400000000</v>
      </c>
      <c r="N48" s="686">
        <v>25000000</v>
      </c>
      <c r="O48" s="673">
        <f>+N48/M48</f>
        <v>6.25E-2</v>
      </c>
      <c r="P48" s="349">
        <v>3150000000</v>
      </c>
      <c r="Q48" s="686">
        <v>25000000</v>
      </c>
      <c r="R48" s="673">
        <f>+Q48/P48</f>
        <v>7.9365079365079361E-3</v>
      </c>
      <c r="S48" s="469"/>
      <c r="T48" s="473"/>
      <c r="U48" s="472"/>
      <c r="V48" s="474"/>
    </row>
    <row r="49" spans="1:22" ht="77.25" customHeight="1" outlineLevel="3" thickBot="1">
      <c r="A49" s="488" t="s">
        <v>142</v>
      </c>
      <c r="B49" s="347" t="s">
        <v>143</v>
      </c>
      <c r="C49" s="532">
        <v>1</v>
      </c>
      <c r="D49" s="532">
        <v>1</v>
      </c>
      <c r="E49" s="530">
        <f>+D49/C49</f>
        <v>1</v>
      </c>
      <c r="F49" s="610" t="s">
        <v>144</v>
      </c>
      <c r="G49" s="534"/>
      <c r="H49" s="532">
        <v>4</v>
      </c>
      <c r="I49" s="655">
        <f>D49</f>
        <v>1</v>
      </c>
      <c r="J49" s="656">
        <f>+I49/H49</f>
        <v>0.25</v>
      </c>
      <c r="K49" s="637">
        <v>0.1</v>
      </c>
      <c r="L49" s="637">
        <v>0.1</v>
      </c>
      <c r="M49" s="685"/>
      <c r="N49" s="686"/>
      <c r="O49" s="542"/>
      <c r="P49" s="349"/>
      <c r="Q49" s="686"/>
      <c r="R49" s="542"/>
      <c r="S49" s="469"/>
      <c r="T49" s="484"/>
      <c r="U49" s="485"/>
      <c r="V49" s="486"/>
    </row>
    <row r="50" spans="1:22" ht="26.25" outlineLevel="1" thickBot="1">
      <c r="A50" s="504" t="s">
        <v>145</v>
      </c>
      <c r="B50" s="505"/>
      <c r="C50" s="535"/>
      <c r="D50" s="535"/>
      <c r="E50" s="536">
        <f>+E51*$K$51+E58*$K$58+E73*$K$73</f>
        <v>0.65559999999999996</v>
      </c>
      <c r="F50" s="612"/>
      <c r="G50" s="536"/>
      <c r="H50" s="535"/>
      <c r="I50" s="657"/>
      <c r="J50" s="536">
        <f>+J51*$L$51+J58*$L$58+J73*$L$73</f>
        <v>0.1290277777777778</v>
      </c>
      <c r="K50" s="635">
        <v>0.25</v>
      </c>
      <c r="L50" s="635">
        <v>0.25</v>
      </c>
      <c r="M50" s="687">
        <f>+SUM(M51,M58,M73)</f>
        <v>11440000000</v>
      </c>
      <c r="N50" s="687">
        <f>+SUM(N51,N58,N73)</f>
        <v>1659050070</v>
      </c>
      <c r="O50" s="536">
        <f>+N50/M50</f>
        <v>0.14502185926573427</v>
      </c>
      <c r="P50" s="687">
        <f>+SUM(P51,P58,P73)</f>
        <v>20840000000</v>
      </c>
      <c r="Q50" s="687">
        <f>+SUM(Q51,Q58,Q73)</f>
        <v>1659050070</v>
      </c>
      <c r="R50" s="536">
        <f>+Q50/P50</f>
        <v>7.9608928502879081E-2</v>
      </c>
      <c r="S50" s="506"/>
      <c r="T50" s="507"/>
      <c r="U50" s="508"/>
      <c r="V50" s="509"/>
    </row>
    <row r="51" spans="1:22" outlineLevel="2">
      <c r="A51" s="512" t="s">
        <v>146</v>
      </c>
      <c r="B51" s="487"/>
      <c r="C51" s="538"/>
      <c r="D51" s="538"/>
      <c r="E51" s="539">
        <f>E53*$K$53+E55*$K$55+E57*$K$57</f>
        <v>0.64</v>
      </c>
      <c r="F51" s="613"/>
      <c r="G51" s="539"/>
      <c r="H51" s="538"/>
      <c r="I51" s="658"/>
      <c r="J51" s="539">
        <f>J53*$L$53+J55*$L$55+J57*$L$57</f>
        <v>0.36827777777777776</v>
      </c>
      <c r="K51" s="636">
        <v>0.1</v>
      </c>
      <c r="L51" s="636">
        <v>0.1</v>
      </c>
      <c r="M51" s="688">
        <f>+SUM(M52:M57)</f>
        <v>200000000</v>
      </c>
      <c r="N51" s="688">
        <f>+SUM(N52:N57)</f>
        <v>162750000</v>
      </c>
      <c r="O51" s="674">
        <f>+N51/M51</f>
        <v>0.81374999999999997</v>
      </c>
      <c r="P51" s="688">
        <f>+SUM(P52:P57)</f>
        <v>2000000000</v>
      </c>
      <c r="Q51" s="688">
        <f>+SUM(Q52:Q57)</f>
        <v>162750000</v>
      </c>
      <c r="R51" s="674">
        <f>+Q51/P51</f>
        <v>8.1375000000000003E-2</v>
      </c>
      <c r="S51" s="479"/>
      <c r="T51" s="475"/>
      <c r="U51" s="476"/>
      <c r="V51" s="477"/>
    </row>
    <row r="52" spans="1:22" ht="25.5" outlineLevel="3">
      <c r="A52" s="342" t="s">
        <v>147</v>
      </c>
      <c r="B52" s="347"/>
      <c r="C52" s="532"/>
      <c r="D52" s="532"/>
      <c r="E52" s="533"/>
      <c r="F52" s="610"/>
      <c r="G52" s="534"/>
      <c r="H52" s="532"/>
      <c r="I52" s="655"/>
      <c r="J52" s="656"/>
      <c r="K52" s="637"/>
      <c r="L52" s="637"/>
      <c r="M52" s="685">
        <v>100000000</v>
      </c>
      <c r="N52" s="686">
        <v>77150000</v>
      </c>
      <c r="O52" s="673">
        <f>+N52/M52</f>
        <v>0.77149999999999996</v>
      </c>
      <c r="P52" s="349">
        <v>700000000</v>
      </c>
      <c r="Q52" s="686">
        <v>77150000</v>
      </c>
      <c r="R52" s="673">
        <f>+Q52/P52</f>
        <v>0.11021428571428571</v>
      </c>
      <c r="S52" s="469"/>
      <c r="T52" s="473"/>
      <c r="U52" s="472"/>
      <c r="V52" s="474"/>
    </row>
    <row r="53" spans="1:22" ht="132.75" customHeight="1" outlineLevel="3">
      <c r="A53" s="342" t="s">
        <v>148</v>
      </c>
      <c r="B53" s="347" t="s">
        <v>92</v>
      </c>
      <c r="C53" s="541">
        <v>0.4</v>
      </c>
      <c r="D53" s="541">
        <v>0.16400000000000001</v>
      </c>
      <c r="E53" s="530">
        <f>+D53/C53</f>
        <v>0.41</v>
      </c>
      <c r="F53" s="610" t="s">
        <v>149</v>
      </c>
      <c r="G53" s="534"/>
      <c r="H53" s="541">
        <v>0.9</v>
      </c>
      <c r="I53" s="659">
        <f>D53</f>
        <v>0.16400000000000001</v>
      </c>
      <c r="J53" s="656">
        <f>+I53/H53</f>
        <v>0.18222222222222223</v>
      </c>
      <c r="K53" s="637">
        <v>0.5</v>
      </c>
      <c r="L53" s="637">
        <v>0.35</v>
      </c>
      <c r="M53" s="685"/>
      <c r="N53" s="686"/>
      <c r="O53" s="542"/>
      <c r="P53" s="349"/>
      <c r="Q53" s="686"/>
      <c r="R53" s="542"/>
      <c r="S53" s="469"/>
      <c r="T53" s="473"/>
      <c r="U53" s="472"/>
      <c r="V53" s="474"/>
    </row>
    <row r="54" spans="1:22" ht="25.5" outlineLevel="3">
      <c r="A54" s="342" t="s">
        <v>150</v>
      </c>
      <c r="B54" s="347"/>
      <c r="C54" s="532"/>
      <c r="D54" s="532"/>
      <c r="E54" s="533"/>
      <c r="F54" s="610"/>
      <c r="G54" s="534"/>
      <c r="H54" s="532"/>
      <c r="I54" s="655"/>
      <c r="J54" s="656"/>
      <c r="K54" s="637"/>
      <c r="L54" s="637"/>
      <c r="M54" s="685">
        <v>100000000</v>
      </c>
      <c r="N54" s="686">
        <v>85600000</v>
      </c>
      <c r="O54" s="673">
        <f>+N54/M54</f>
        <v>0.85599999999999998</v>
      </c>
      <c r="P54" s="349">
        <v>700000000</v>
      </c>
      <c r="Q54" s="686">
        <v>85600000</v>
      </c>
      <c r="R54" s="673">
        <f>+Q54/P54</f>
        <v>0.12228571428571429</v>
      </c>
      <c r="S54" s="469"/>
      <c r="T54" s="473"/>
      <c r="U54" s="472"/>
      <c r="V54" s="474"/>
    </row>
    <row r="55" spans="1:22" ht="63.75" outlineLevel="3">
      <c r="A55" s="342" t="s">
        <v>151</v>
      </c>
      <c r="B55" s="347" t="s">
        <v>92</v>
      </c>
      <c r="C55" s="569">
        <v>1</v>
      </c>
      <c r="D55" s="541">
        <v>0.87</v>
      </c>
      <c r="E55" s="530">
        <f>+D55/C55</f>
        <v>0.87</v>
      </c>
      <c r="F55" s="610" t="s">
        <v>152</v>
      </c>
      <c r="G55" s="534"/>
      <c r="H55" s="541">
        <v>1</v>
      </c>
      <c r="I55" s="659">
        <f>D55</f>
        <v>0.87</v>
      </c>
      <c r="J55" s="656">
        <f>+I55/H55</f>
        <v>0.87</v>
      </c>
      <c r="K55" s="637">
        <v>0.5</v>
      </c>
      <c r="L55" s="637">
        <v>0.35</v>
      </c>
      <c r="M55" s="685"/>
      <c r="N55" s="686"/>
      <c r="O55" s="542"/>
      <c r="P55" s="349"/>
      <c r="Q55" s="686"/>
      <c r="R55" s="542"/>
      <c r="S55" s="469"/>
      <c r="T55" s="473"/>
      <c r="U55" s="472"/>
      <c r="V55" s="474"/>
    </row>
    <row r="56" spans="1:22" ht="25.5" outlineLevel="3">
      <c r="A56" s="342" t="s">
        <v>153</v>
      </c>
      <c r="B56" s="347"/>
      <c r="C56" s="532"/>
      <c r="D56" s="532"/>
      <c r="E56" s="533"/>
      <c r="F56" s="610" t="s">
        <v>154</v>
      </c>
      <c r="G56" s="534"/>
      <c r="H56" s="532"/>
      <c r="I56" s="655"/>
      <c r="J56" s="656"/>
      <c r="K56" s="637"/>
      <c r="L56" s="637"/>
      <c r="M56" s="685">
        <v>0</v>
      </c>
      <c r="N56" s="686">
        <v>0</v>
      </c>
      <c r="O56" s="542"/>
      <c r="P56" s="349">
        <v>600000000</v>
      </c>
      <c r="Q56" s="686">
        <v>0</v>
      </c>
      <c r="R56" s="673">
        <f>+Q56/P56</f>
        <v>0</v>
      </c>
      <c r="S56" s="469"/>
      <c r="T56" s="473"/>
      <c r="U56" s="472"/>
      <c r="V56" s="474"/>
    </row>
    <row r="57" spans="1:22" outlineLevel="3">
      <c r="A57" s="342" t="s">
        <v>155</v>
      </c>
      <c r="B57" s="347" t="s">
        <v>156</v>
      </c>
      <c r="C57" s="532">
        <v>0</v>
      </c>
      <c r="D57" s="532">
        <v>0</v>
      </c>
      <c r="E57" s="528">
        <v>0</v>
      </c>
      <c r="F57" s="610"/>
      <c r="G57" s="534"/>
      <c r="H57" s="532">
        <v>2</v>
      </c>
      <c r="I57" s="655">
        <f>D57</f>
        <v>0</v>
      </c>
      <c r="J57" s="656">
        <f>+I57/H57</f>
        <v>0</v>
      </c>
      <c r="K57" s="637">
        <v>0</v>
      </c>
      <c r="L57" s="637">
        <v>0.3</v>
      </c>
      <c r="M57" s="685"/>
      <c r="N57" s="686"/>
      <c r="O57" s="542"/>
      <c r="P57" s="349"/>
      <c r="Q57" s="686"/>
      <c r="R57" s="542"/>
      <c r="S57" s="469"/>
      <c r="T57" s="473"/>
      <c r="U57" s="472"/>
      <c r="V57" s="474"/>
    </row>
    <row r="58" spans="1:22" outlineLevel="2">
      <c r="A58" s="511" t="s">
        <v>157</v>
      </c>
      <c r="B58" s="349"/>
      <c r="C58" s="542"/>
      <c r="D58" s="542"/>
      <c r="E58" s="543">
        <f>E60*$K$60+E62*$K$62+E64*$K$64+E66*$K$66+E68*$K$68+E70*$K$70+E72*$K$72</f>
        <v>0.97899999999999998</v>
      </c>
      <c r="F58" s="614"/>
      <c r="G58" s="543"/>
      <c r="H58" s="542"/>
      <c r="I58" s="660"/>
      <c r="J58" s="543">
        <f>J60*$L$60+J62*$L$62+J64*$L$64+J66*$L$66+J68*$L$68+J70*$L$70+J72*$L$72</f>
        <v>0.16800000000000001</v>
      </c>
      <c r="K58" s="638">
        <v>0.4</v>
      </c>
      <c r="L58" s="638">
        <v>0.4</v>
      </c>
      <c r="M58" s="688">
        <f>+SUM(M59:M72)</f>
        <v>1140000000</v>
      </c>
      <c r="N58" s="688">
        <f>+SUM(N59:N72)</f>
        <v>919742980</v>
      </c>
      <c r="O58" s="673">
        <f>+N58/M58</f>
        <v>0.80679208771929822</v>
      </c>
      <c r="P58" s="688">
        <f>+SUM(P59:P72)</f>
        <v>7760000000</v>
      </c>
      <c r="Q58" s="688">
        <f>+SUM(Q59:Q72)</f>
        <v>919742980</v>
      </c>
      <c r="R58" s="673">
        <f>+Q58/P58</f>
        <v>0.11852357989690722</v>
      </c>
      <c r="S58" s="469"/>
      <c r="T58" s="473"/>
      <c r="U58" s="472"/>
      <c r="V58" s="474"/>
    </row>
    <row r="59" spans="1:22" ht="25.5" outlineLevel="3">
      <c r="A59" s="342" t="s">
        <v>158</v>
      </c>
      <c r="B59" s="347"/>
      <c r="C59" s="532"/>
      <c r="D59" s="532"/>
      <c r="E59" s="533"/>
      <c r="F59" s="610"/>
      <c r="G59" s="534"/>
      <c r="H59" s="532"/>
      <c r="I59" s="655"/>
      <c r="J59" s="656"/>
      <c r="K59" s="637"/>
      <c r="L59" s="637"/>
      <c r="M59" s="685">
        <v>90000000</v>
      </c>
      <c r="N59" s="686">
        <v>70850000</v>
      </c>
      <c r="O59" s="673">
        <f>+N59/M59</f>
        <v>0.78722222222222227</v>
      </c>
      <c r="P59" s="349">
        <v>630000000</v>
      </c>
      <c r="Q59" s="686">
        <v>70850000</v>
      </c>
      <c r="R59" s="673">
        <f>+Q59/P59</f>
        <v>0.11246031746031745</v>
      </c>
      <c r="S59" s="469"/>
      <c r="T59" s="473"/>
      <c r="U59" s="472"/>
      <c r="V59" s="474"/>
    </row>
    <row r="60" spans="1:22" ht="30" customHeight="1" outlineLevel="3" thickBot="1">
      <c r="A60" s="342" t="s">
        <v>159</v>
      </c>
      <c r="B60" s="343" t="s">
        <v>92</v>
      </c>
      <c r="C60" s="531">
        <v>1</v>
      </c>
      <c r="D60" s="531">
        <v>0.93</v>
      </c>
      <c r="E60" s="530">
        <f>+D60/C60</f>
        <v>0.93</v>
      </c>
      <c r="F60" s="608" t="s">
        <v>160</v>
      </c>
      <c r="G60" s="529"/>
      <c r="H60" s="531">
        <v>1</v>
      </c>
      <c r="I60" s="654">
        <f>D60</f>
        <v>0.93</v>
      </c>
      <c r="J60" s="653">
        <f>+I60/H60</f>
        <v>0.93</v>
      </c>
      <c r="K60" s="530">
        <v>0.3</v>
      </c>
      <c r="L60" s="530">
        <v>0.1</v>
      </c>
      <c r="M60" s="683"/>
      <c r="N60" s="683"/>
      <c r="O60" s="675"/>
      <c r="P60" s="350"/>
      <c r="Q60" s="683"/>
      <c r="R60" s="675"/>
      <c r="S60" s="470"/>
      <c r="T60" s="473"/>
      <c r="U60" s="472"/>
      <c r="V60" s="474"/>
    </row>
    <row r="61" spans="1:22" outlineLevel="3">
      <c r="A61" s="342" t="s">
        <v>161</v>
      </c>
      <c r="B61" s="343"/>
      <c r="C61" s="600"/>
      <c r="D61" s="600"/>
      <c r="E61" s="600"/>
      <c r="F61" s="615"/>
      <c r="G61" s="546"/>
      <c r="H61" s="600"/>
      <c r="I61" s="661"/>
      <c r="J61" s="662"/>
      <c r="K61" s="639"/>
      <c r="L61" s="639"/>
      <c r="M61" s="683">
        <v>600000000</v>
      </c>
      <c r="N61" s="683">
        <v>599224500</v>
      </c>
      <c r="O61" s="673">
        <f>+N61/M61</f>
        <v>0.99870749999999997</v>
      </c>
      <c r="P61" s="344">
        <v>4200000000</v>
      </c>
      <c r="Q61" s="683">
        <v>599224500</v>
      </c>
      <c r="R61" s="673">
        <f>+Q61/P61</f>
        <v>0.14267250000000001</v>
      </c>
      <c r="S61" s="345"/>
      <c r="T61" s="473"/>
      <c r="U61" s="472"/>
      <c r="V61" s="474"/>
    </row>
    <row r="62" spans="1:22" ht="59.25" customHeight="1" outlineLevel="3">
      <c r="A62" s="342" t="s">
        <v>162</v>
      </c>
      <c r="B62" s="343" t="s">
        <v>163</v>
      </c>
      <c r="C62" s="527">
        <v>1</v>
      </c>
      <c r="D62" s="527">
        <v>1</v>
      </c>
      <c r="E62" s="530">
        <f>+D62/C62</f>
        <v>1</v>
      </c>
      <c r="F62" s="608" t="s">
        <v>164</v>
      </c>
      <c r="G62" s="529"/>
      <c r="H62" s="527">
        <v>4</v>
      </c>
      <c r="I62" s="663">
        <f>D62</f>
        <v>1</v>
      </c>
      <c r="J62" s="531">
        <f>+I62/H62</f>
        <v>0.25</v>
      </c>
      <c r="K62" s="530">
        <v>0.7</v>
      </c>
      <c r="L62" s="530">
        <v>0.3</v>
      </c>
      <c r="M62" s="683"/>
      <c r="N62" s="683"/>
      <c r="O62" s="676"/>
      <c r="P62" s="344"/>
      <c r="Q62" s="683"/>
      <c r="R62" s="676"/>
      <c r="S62" s="345"/>
      <c r="T62" s="473"/>
      <c r="U62" s="472"/>
      <c r="V62" s="474"/>
    </row>
    <row r="63" spans="1:22" ht="25.5" outlineLevel="3">
      <c r="A63" s="342" t="s">
        <v>165</v>
      </c>
      <c r="B63" s="343"/>
      <c r="C63" s="527"/>
      <c r="D63" s="527"/>
      <c r="E63" s="527"/>
      <c r="F63" s="608"/>
      <c r="G63" s="529"/>
      <c r="H63" s="527"/>
      <c r="I63" s="663"/>
      <c r="J63" s="531"/>
      <c r="K63" s="530"/>
      <c r="L63" s="530"/>
      <c r="M63" s="683">
        <v>200000000</v>
      </c>
      <c r="N63" s="683">
        <v>0</v>
      </c>
      <c r="O63" s="673">
        <f>+N63/M63</f>
        <v>0</v>
      </c>
      <c r="P63" s="344">
        <v>1400000000</v>
      </c>
      <c r="Q63" s="683">
        <v>0</v>
      </c>
      <c r="R63" s="673">
        <f>+Q63/P63</f>
        <v>0</v>
      </c>
      <c r="S63" s="345"/>
      <c r="T63" s="473"/>
      <c r="U63" s="472"/>
      <c r="V63" s="474"/>
    </row>
    <row r="64" spans="1:22" ht="25.5" outlineLevel="3">
      <c r="A64" s="342" t="s">
        <v>166</v>
      </c>
      <c r="B64" s="343" t="s">
        <v>163</v>
      </c>
      <c r="C64" s="527">
        <v>1</v>
      </c>
      <c r="D64" s="527">
        <v>0</v>
      </c>
      <c r="E64" s="530">
        <f>+D64/C64</f>
        <v>0</v>
      </c>
      <c r="F64" s="608" t="s">
        <v>167</v>
      </c>
      <c r="G64" s="529"/>
      <c r="H64" s="527">
        <v>4</v>
      </c>
      <c r="I64" s="663">
        <f>D64</f>
        <v>0</v>
      </c>
      <c r="J64" s="531">
        <f>+I64/H64</f>
        <v>0</v>
      </c>
      <c r="K64" s="530">
        <v>0</v>
      </c>
      <c r="L64" s="530">
        <v>0.2</v>
      </c>
      <c r="M64" s="683"/>
      <c r="N64" s="683"/>
      <c r="O64" s="676"/>
      <c r="P64" s="344"/>
      <c r="Q64" s="683"/>
      <c r="R64" s="676"/>
      <c r="S64" s="345"/>
      <c r="T64" s="473"/>
      <c r="U64" s="472"/>
      <c r="V64" s="474"/>
    </row>
    <row r="65" spans="1:22" ht="25.5" outlineLevel="3">
      <c r="A65" s="342" t="s">
        <v>168</v>
      </c>
      <c r="B65" s="343"/>
      <c r="C65" s="527"/>
      <c r="D65" s="527"/>
      <c r="E65" s="527"/>
      <c r="F65" s="608"/>
      <c r="G65" s="529"/>
      <c r="H65" s="527"/>
      <c r="I65" s="663"/>
      <c r="J65" s="531"/>
      <c r="K65" s="530"/>
      <c r="L65" s="530"/>
      <c r="M65" s="683">
        <v>0</v>
      </c>
      <c r="N65" s="683">
        <v>0</v>
      </c>
      <c r="O65" s="676"/>
      <c r="P65" s="344">
        <v>700000000</v>
      </c>
      <c r="Q65" s="683">
        <v>0</v>
      </c>
      <c r="R65" s="673">
        <f>+Q65/P65</f>
        <v>0</v>
      </c>
      <c r="S65" s="345"/>
      <c r="T65" s="473"/>
      <c r="U65" s="472"/>
      <c r="V65" s="474"/>
    </row>
    <row r="66" spans="1:22" outlineLevel="3">
      <c r="A66" s="342" t="s">
        <v>169</v>
      </c>
      <c r="B66" s="343" t="s">
        <v>170</v>
      </c>
      <c r="C66" s="527">
        <v>0</v>
      </c>
      <c r="D66" s="527">
        <v>0</v>
      </c>
      <c r="E66" s="528">
        <v>0</v>
      </c>
      <c r="F66" s="608"/>
      <c r="G66" s="529"/>
      <c r="H66" s="527">
        <v>1</v>
      </c>
      <c r="I66" s="663">
        <f>D66</f>
        <v>0</v>
      </c>
      <c r="J66" s="531">
        <f>+I66/H66</f>
        <v>0</v>
      </c>
      <c r="K66" s="530">
        <v>0</v>
      </c>
      <c r="L66" s="530">
        <v>0.1</v>
      </c>
      <c r="M66" s="683"/>
      <c r="N66" s="683"/>
      <c r="O66" s="676"/>
      <c r="P66" s="344"/>
      <c r="Q66" s="683"/>
      <c r="R66" s="676"/>
      <c r="S66" s="345"/>
      <c r="T66" s="473"/>
      <c r="U66" s="472"/>
      <c r="V66" s="474"/>
    </row>
    <row r="67" spans="1:22" outlineLevel="3">
      <c r="A67" s="342" t="s">
        <v>171</v>
      </c>
      <c r="B67" s="343"/>
      <c r="C67" s="527"/>
      <c r="D67" s="527"/>
      <c r="E67" s="527"/>
      <c r="F67" s="608"/>
      <c r="G67" s="529"/>
      <c r="H67" s="527"/>
      <c r="I67" s="663"/>
      <c r="J67" s="531"/>
      <c r="K67" s="530"/>
      <c r="L67" s="530"/>
      <c r="M67" s="683">
        <v>0</v>
      </c>
      <c r="N67" s="683">
        <v>0</v>
      </c>
      <c r="O67" s="676"/>
      <c r="P67" s="344">
        <v>300000000</v>
      </c>
      <c r="Q67" s="683">
        <v>0</v>
      </c>
      <c r="R67" s="673">
        <f>+Q67/P67</f>
        <v>0</v>
      </c>
      <c r="S67" s="345"/>
      <c r="T67" s="473"/>
      <c r="U67" s="472"/>
      <c r="V67" s="474"/>
    </row>
    <row r="68" spans="1:22" ht="21.75" customHeight="1" outlineLevel="3">
      <c r="A68" s="342" t="s">
        <v>172</v>
      </c>
      <c r="B68" s="343" t="s">
        <v>173</v>
      </c>
      <c r="C68" s="527">
        <v>0</v>
      </c>
      <c r="D68" s="527">
        <v>0</v>
      </c>
      <c r="E68" s="528">
        <v>0</v>
      </c>
      <c r="F68" s="608" t="s">
        <v>154</v>
      </c>
      <c r="G68" s="529"/>
      <c r="H68" s="527">
        <v>3</v>
      </c>
      <c r="I68" s="663">
        <f>D68</f>
        <v>0</v>
      </c>
      <c r="J68" s="531">
        <f>+I68/H68</f>
        <v>0</v>
      </c>
      <c r="K68" s="530">
        <v>0</v>
      </c>
      <c r="L68" s="530">
        <v>0.1</v>
      </c>
      <c r="M68" s="683"/>
      <c r="N68" s="683"/>
      <c r="O68" s="676"/>
      <c r="P68" s="344"/>
      <c r="Q68" s="683"/>
      <c r="R68" s="676"/>
      <c r="S68" s="345"/>
      <c r="T68" s="473"/>
      <c r="U68" s="472"/>
      <c r="V68" s="474"/>
    </row>
    <row r="69" spans="1:22" ht="25.5" outlineLevel="3">
      <c r="A69" s="342" t="s">
        <v>174</v>
      </c>
      <c r="B69" s="343"/>
      <c r="C69" s="527"/>
      <c r="D69" s="527"/>
      <c r="E69" s="527"/>
      <c r="F69" s="608"/>
      <c r="G69" s="529"/>
      <c r="H69" s="527"/>
      <c r="I69" s="663"/>
      <c r="J69" s="531"/>
      <c r="K69" s="530"/>
      <c r="L69" s="530"/>
      <c r="M69" s="683">
        <v>250000000</v>
      </c>
      <c r="N69" s="683">
        <v>249668480</v>
      </c>
      <c r="O69" s="673">
        <f>+N69/M69</f>
        <v>0.99867391999999999</v>
      </c>
      <c r="P69" s="344">
        <v>350000000</v>
      </c>
      <c r="Q69" s="683">
        <v>249668480</v>
      </c>
      <c r="R69" s="673">
        <f>+Q69/P69</f>
        <v>0.71333851428571426</v>
      </c>
      <c r="S69" s="345"/>
      <c r="T69" s="473"/>
      <c r="U69" s="472"/>
      <c r="V69" s="474"/>
    </row>
    <row r="70" spans="1:22" ht="77.25" customHeight="1" outlineLevel="3">
      <c r="A70" s="342" t="s">
        <v>175</v>
      </c>
      <c r="B70" s="343" t="s">
        <v>176</v>
      </c>
      <c r="C70" s="527">
        <v>1</v>
      </c>
      <c r="D70" s="527">
        <v>0</v>
      </c>
      <c r="E70" s="530">
        <f>+D70/C70</f>
        <v>0</v>
      </c>
      <c r="F70" s="608" t="s">
        <v>177</v>
      </c>
      <c r="G70" s="529"/>
      <c r="H70" s="527">
        <v>1</v>
      </c>
      <c r="I70" s="663">
        <f>D70</f>
        <v>0</v>
      </c>
      <c r="J70" s="531">
        <f>+I70/H70</f>
        <v>0</v>
      </c>
      <c r="K70" s="530">
        <v>0</v>
      </c>
      <c r="L70" s="530">
        <v>0.1</v>
      </c>
      <c r="M70" s="683"/>
      <c r="N70" s="683"/>
      <c r="O70" s="676"/>
      <c r="P70" s="344"/>
      <c r="Q70" s="683"/>
      <c r="R70" s="676"/>
      <c r="S70" s="345"/>
      <c r="T70" s="473"/>
      <c r="U70" s="472"/>
      <c r="V70" s="474"/>
    </row>
    <row r="71" spans="1:22" outlineLevel="3">
      <c r="A71" s="342" t="s">
        <v>178</v>
      </c>
      <c r="B71" s="343"/>
      <c r="C71" s="527"/>
      <c r="D71" s="527"/>
      <c r="E71" s="527"/>
      <c r="F71" s="608"/>
      <c r="G71" s="529"/>
      <c r="H71" s="527"/>
      <c r="I71" s="663"/>
      <c r="J71" s="531"/>
      <c r="K71" s="530"/>
      <c r="L71" s="530"/>
      <c r="M71" s="685">
        <v>0</v>
      </c>
      <c r="N71" s="685">
        <v>0</v>
      </c>
      <c r="O71" s="676"/>
      <c r="P71" s="344">
        <v>180000000</v>
      </c>
      <c r="Q71" s="685">
        <v>0</v>
      </c>
      <c r="R71" s="673">
        <f>+Q71/P71</f>
        <v>0</v>
      </c>
      <c r="S71" s="345"/>
      <c r="T71" s="473"/>
      <c r="U71" s="472"/>
      <c r="V71" s="474"/>
    </row>
    <row r="72" spans="1:22" outlineLevel="3">
      <c r="A72" s="342" t="s">
        <v>179</v>
      </c>
      <c r="B72" s="347" t="s">
        <v>180</v>
      </c>
      <c r="C72" s="532">
        <v>0</v>
      </c>
      <c r="D72" s="532">
        <v>0</v>
      </c>
      <c r="E72" s="528">
        <v>0</v>
      </c>
      <c r="F72" s="610"/>
      <c r="G72" s="534"/>
      <c r="H72" s="532">
        <v>3</v>
      </c>
      <c r="I72" s="664">
        <f>D72</f>
        <v>0</v>
      </c>
      <c r="J72" s="541">
        <f>+I72/H72</f>
        <v>0</v>
      </c>
      <c r="K72" s="637">
        <v>0</v>
      </c>
      <c r="L72" s="637">
        <v>0.1</v>
      </c>
      <c r="M72" s="685"/>
      <c r="N72" s="685"/>
      <c r="O72" s="677"/>
      <c r="P72" s="348"/>
      <c r="Q72" s="685"/>
      <c r="R72" s="677"/>
      <c r="S72" s="349"/>
      <c r="T72" s="473"/>
      <c r="U72" s="472"/>
      <c r="V72" s="474"/>
    </row>
    <row r="73" spans="1:22" outlineLevel="2">
      <c r="A73" s="511" t="s">
        <v>181</v>
      </c>
      <c r="B73" s="349"/>
      <c r="C73" s="542"/>
      <c r="D73" s="542"/>
      <c r="E73" s="544">
        <f>E75*$K$75+E77*$K$77+E78*$K$78</f>
        <v>0.4</v>
      </c>
      <c r="F73" s="614"/>
      <c r="G73" s="544"/>
      <c r="H73" s="542"/>
      <c r="I73" s="665"/>
      <c r="J73" s="544">
        <f>J75*$L$75+J77*$L$77+J78*$L$78</f>
        <v>0.05</v>
      </c>
      <c r="K73" s="638">
        <v>0.5</v>
      </c>
      <c r="L73" s="638">
        <v>0.5</v>
      </c>
      <c r="M73" s="688">
        <f>+SUM(M74:M78)</f>
        <v>10100000000</v>
      </c>
      <c r="N73" s="688">
        <f>+SUM(N74:N78)</f>
        <v>576557090</v>
      </c>
      <c r="O73" s="673">
        <f>+N73/M73</f>
        <v>5.7084860396039605E-2</v>
      </c>
      <c r="P73" s="688">
        <f>+SUM(P74:P78)</f>
        <v>11080000000</v>
      </c>
      <c r="Q73" s="688">
        <f>+SUM(Q74:Q78)</f>
        <v>576557090</v>
      </c>
      <c r="R73" s="673">
        <f>+Q73/P73</f>
        <v>5.2035838447653429E-2</v>
      </c>
      <c r="S73" s="349"/>
      <c r="T73" s="473"/>
      <c r="U73" s="472"/>
      <c r="V73" s="474"/>
    </row>
    <row r="74" spans="1:22" ht="25.5" outlineLevel="3">
      <c r="A74" s="342" t="s">
        <v>182</v>
      </c>
      <c r="B74" s="347"/>
      <c r="C74" s="532"/>
      <c r="D74" s="532"/>
      <c r="E74" s="532"/>
      <c r="F74" s="610"/>
      <c r="G74" s="534"/>
      <c r="H74" s="532"/>
      <c r="I74" s="664"/>
      <c r="J74" s="541"/>
      <c r="K74" s="637"/>
      <c r="L74" s="637"/>
      <c r="M74" s="683">
        <v>100000000</v>
      </c>
      <c r="N74" s="683">
        <v>91650000</v>
      </c>
      <c r="O74" s="673">
        <f>+N74/M74</f>
        <v>0.91649999999999998</v>
      </c>
      <c r="P74" s="348">
        <v>480000000</v>
      </c>
      <c r="Q74" s="683">
        <v>91650000</v>
      </c>
      <c r="R74" s="673">
        <f>+Q74/P74</f>
        <v>0.19093750000000001</v>
      </c>
      <c r="S74" s="349"/>
      <c r="T74" s="473"/>
      <c r="U74" s="472"/>
      <c r="V74" s="474"/>
    </row>
    <row r="75" spans="1:22" ht="156.75" customHeight="1" outlineLevel="3">
      <c r="A75" s="342" t="s">
        <v>183</v>
      </c>
      <c r="B75" s="343" t="s">
        <v>180</v>
      </c>
      <c r="C75" s="527">
        <v>1</v>
      </c>
      <c r="D75" s="527">
        <v>1</v>
      </c>
      <c r="E75" s="530">
        <f>+D75/C75</f>
        <v>1</v>
      </c>
      <c r="F75" s="608" t="s">
        <v>184</v>
      </c>
      <c r="G75" s="529"/>
      <c r="H75" s="527">
        <v>4</v>
      </c>
      <c r="I75" s="663">
        <f>D75</f>
        <v>1</v>
      </c>
      <c r="J75" s="531">
        <f>+I75/H75</f>
        <v>0.25</v>
      </c>
      <c r="K75" s="530">
        <v>0.4</v>
      </c>
      <c r="L75" s="530">
        <v>0.2</v>
      </c>
      <c r="M75" s="689"/>
      <c r="N75" s="683"/>
      <c r="O75" s="676"/>
      <c r="P75" s="344"/>
      <c r="Q75" s="683"/>
      <c r="R75" s="676"/>
      <c r="S75" s="344"/>
      <c r="T75" s="473"/>
      <c r="U75" s="472"/>
      <c r="V75" s="474"/>
    </row>
    <row r="76" spans="1:22" ht="25.5" outlineLevel="3">
      <c r="A76" s="601" t="s">
        <v>185</v>
      </c>
      <c r="B76" s="352"/>
      <c r="C76" s="545"/>
      <c r="D76" s="545"/>
      <c r="E76" s="545"/>
      <c r="F76" s="616"/>
      <c r="G76" s="546"/>
      <c r="H76" s="545"/>
      <c r="I76" s="661"/>
      <c r="J76" s="662"/>
      <c r="K76" s="639"/>
      <c r="L76" s="639"/>
      <c r="M76" s="688">
        <v>10000000000</v>
      </c>
      <c r="N76" s="688">
        <v>484907090</v>
      </c>
      <c r="O76" s="674">
        <f>+N76/M76</f>
        <v>4.8490709E-2</v>
      </c>
      <c r="P76" s="351">
        <v>10600000000</v>
      </c>
      <c r="Q76" s="688">
        <v>484907090</v>
      </c>
      <c r="R76" s="674">
        <f>+Q76/P76</f>
        <v>4.5745951886792452E-2</v>
      </c>
      <c r="S76" s="471"/>
      <c r="T76" s="473"/>
      <c r="U76" s="472"/>
      <c r="V76" s="474"/>
    </row>
    <row r="77" spans="1:22" ht="66" customHeight="1" outlineLevel="3">
      <c r="A77" s="346" t="s">
        <v>186</v>
      </c>
      <c r="B77" s="353" t="s">
        <v>187</v>
      </c>
      <c r="C77" s="547">
        <v>1</v>
      </c>
      <c r="D77" s="547">
        <v>0</v>
      </c>
      <c r="E77" s="530">
        <f>+D77/C77</f>
        <v>0</v>
      </c>
      <c r="F77" s="604" t="s">
        <v>188</v>
      </c>
      <c r="G77" s="534"/>
      <c r="H77" s="547">
        <v>4</v>
      </c>
      <c r="I77" s="664">
        <f>D77</f>
        <v>0</v>
      </c>
      <c r="J77" s="541">
        <f>+I77/H77</f>
        <v>0</v>
      </c>
      <c r="K77" s="637">
        <v>0.6</v>
      </c>
      <c r="L77" s="637">
        <v>0.4</v>
      </c>
      <c r="M77" s="685"/>
      <c r="N77" s="685"/>
      <c r="O77" s="677"/>
      <c r="P77" s="348"/>
      <c r="Q77" s="685"/>
      <c r="R77" s="677"/>
      <c r="S77" s="349"/>
      <c r="T77" s="473"/>
      <c r="U77" s="472"/>
      <c r="V77" s="474"/>
    </row>
    <row r="78" spans="1:22" ht="13.5" outlineLevel="3" thickBot="1">
      <c r="A78" s="602" t="s">
        <v>189</v>
      </c>
      <c r="B78" s="353" t="s">
        <v>156</v>
      </c>
      <c r="C78" s="547">
        <v>0</v>
      </c>
      <c r="D78" s="547">
        <v>0</v>
      </c>
      <c r="E78" s="528">
        <v>0</v>
      </c>
      <c r="F78" s="604"/>
      <c r="G78" s="534"/>
      <c r="H78" s="547">
        <v>4</v>
      </c>
      <c r="I78" s="664">
        <f>D78</f>
        <v>0</v>
      </c>
      <c r="J78" s="541">
        <f>+I78/H78</f>
        <v>0</v>
      </c>
      <c r="K78" s="637">
        <v>0</v>
      </c>
      <c r="L78" s="637">
        <v>0.4</v>
      </c>
      <c r="M78" s="685"/>
      <c r="N78" s="685"/>
      <c r="O78" s="677"/>
      <c r="P78" s="348"/>
      <c r="Q78" s="685"/>
      <c r="R78" s="677"/>
      <c r="S78" s="349"/>
      <c r="T78" s="484"/>
      <c r="U78" s="485"/>
      <c r="V78" s="486"/>
    </row>
    <row r="79" spans="1:22" ht="13.5" outlineLevel="1" thickBot="1">
      <c r="A79" s="504" t="s">
        <v>190</v>
      </c>
      <c r="B79" s="510"/>
      <c r="C79" s="548"/>
      <c r="D79" s="548"/>
      <c r="E79" s="549">
        <f>+E80*$K$80</f>
        <v>0.65</v>
      </c>
      <c r="F79" s="617"/>
      <c r="G79" s="549"/>
      <c r="H79" s="548"/>
      <c r="I79" s="666"/>
      <c r="J79" s="549">
        <f>+J80*$L$80</f>
        <v>0.17228260869565215</v>
      </c>
      <c r="K79" s="635">
        <v>0.1</v>
      </c>
      <c r="L79" s="635">
        <v>0.1</v>
      </c>
      <c r="M79" s="687">
        <f>+SUM(M80)</f>
        <v>38655997742.309998</v>
      </c>
      <c r="N79" s="687">
        <f>+SUM(N80)</f>
        <v>38574898240.900002</v>
      </c>
      <c r="O79" s="536">
        <f>+N79/M79</f>
        <v>0.99790202022592656</v>
      </c>
      <c r="P79" s="687">
        <f>+SUM(P80)</f>
        <v>146573450954</v>
      </c>
      <c r="Q79" s="687">
        <f>+SUM(Q80)</f>
        <v>38574898240.900002</v>
      </c>
      <c r="R79" s="536">
        <f>+Q79/P79</f>
        <v>0.26317793563451125</v>
      </c>
      <c r="S79" s="505"/>
      <c r="T79" s="507"/>
      <c r="U79" s="508"/>
      <c r="V79" s="509"/>
    </row>
    <row r="80" spans="1:22" ht="30" customHeight="1" outlineLevel="2">
      <c r="A80" s="512" t="s">
        <v>191</v>
      </c>
      <c r="B80" s="513"/>
      <c r="C80" s="550"/>
      <c r="D80" s="550"/>
      <c r="E80" s="551">
        <f>E82*$K$82+E84*$K$84+E86*$K$86+E88*$K$88+E90*$K$90</f>
        <v>0.65</v>
      </c>
      <c r="F80" s="618"/>
      <c r="G80" s="551"/>
      <c r="H80" s="550"/>
      <c r="I80" s="667"/>
      <c r="J80" s="551">
        <f>J82*$L$82+J84*$L$84+J86*$L$86+J88*$L$88+J90*$L$90</f>
        <v>0.17228260869565215</v>
      </c>
      <c r="K80" s="636">
        <v>1</v>
      </c>
      <c r="L80" s="636">
        <v>1</v>
      </c>
      <c r="M80" s="688">
        <f>+SUM(M81:M90)</f>
        <v>38655997742.309998</v>
      </c>
      <c r="N80" s="688">
        <f>+SUM(N81:N90)</f>
        <v>38574898240.900002</v>
      </c>
      <c r="O80" s="674">
        <f>+N80/M80</f>
        <v>0.99790202022592656</v>
      </c>
      <c r="P80" s="688">
        <f>+SUM(P81:P90)</f>
        <v>146573450954</v>
      </c>
      <c r="Q80" s="688">
        <f>+SUM(Q81:Q90)</f>
        <v>38574898240.900002</v>
      </c>
      <c r="R80" s="674">
        <f>+Q80/P80</f>
        <v>0.26317793563451125</v>
      </c>
      <c r="S80" s="487"/>
      <c r="T80" s="475"/>
      <c r="U80" s="476"/>
      <c r="V80" s="477"/>
    </row>
    <row r="81" spans="1:22" ht="25.5" outlineLevel="3">
      <c r="A81" s="342" t="s">
        <v>192</v>
      </c>
      <c r="B81" s="353"/>
      <c r="C81" s="547"/>
      <c r="D81" s="547"/>
      <c r="E81" s="547"/>
      <c r="F81" s="604"/>
      <c r="G81" s="534"/>
      <c r="H81" s="547"/>
      <c r="I81" s="664"/>
      <c r="J81" s="541"/>
      <c r="K81" s="637"/>
      <c r="L81" s="637"/>
      <c r="M81" s="685">
        <v>0</v>
      </c>
      <c r="N81" s="685">
        <v>0</v>
      </c>
      <c r="O81" s="677"/>
      <c r="P81" s="348">
        <v>600000000</v>
      </c>
      <c r="Q81" s="685">
        <v>0</v>
      </c>
      <c r="R81" s="673">
        <f>+Q81/P81</f>
        <v>0</v>
      </c>
      <c r="S81" s="349"/>
      <c r="T81" s="473"/>
      <c r="U81" s="472"/>
      <c r="V81" s="474"/>
    </row>
    <row r="82" spans="1:22" ht="25.5" outlineLevel="3">
      <c r="A82" s="342" t="s">
        <v>193</v>
      </c>
      <c r="B82" s="353" t="s">
        <v>170</v>
      </c>
      <c r="C82" s="547">
        <v>0</v>
      </c>
      <c r="D82" s="547">
        <v>0</v>
      </c>
      <c r="E82" s="528">
        <v>0</v>
      </c>
      <c r="F82" s="604"/>
      <c r="G82" s="534"/>
      <c r="H82" s="547">
        <v>1</v>
      </c>
      <c r="I82" s="664">
        <f>D82</f>
        <v>0</v>
      </c>
      <c r="J82" s="541">
        <f>+I82/H82</f>
        <v>0</v>
      </c>
      <c r="K82" s="637">
        <v>0</v>
      </c>
      <c r="L82" s="637">
        <v>0.2</v>
      </c>
      <c r="M82" s="685"/>
      <c r="N82" s="685"/>
      <c r="O82" s="677"/>
      <c r="P82" s="348"/>
      <c r="Q82" s="685"/>
      <c r="R82" s="677"/>
      <c r="S82" s="349"/>
      <c r="T82" s="473"/>
      <c r="U82" s="472"/>
      <c r="V82" s="474"/>
    </row>
    <row r="83" spans="1:22" ht="25.5" outlineLevel="3">
      <c r="A83" s="342" t="s">
        <v>194</v>
      </c>
      <c r="B83" s="353"/>
      <c r="C83" s="547"/>
      <c r="D83" s="547"/>
      <c r="E83" s="547"/>
      <c r="F83" s="604"/>
      <c r="G83" s="534"/>
      <c r="H83" s="547"/>
      <c r="I83" s="664"/>
      <c r="J83" s="541"/>
      <c r="K83" s="637"/>
      <c r="L83" s="637"/>
      <c r="M83" s="685">
        <v>2000000000</v>
      </c>
      <c r="N83" s="685">
        <v>2000000000</v>
      </c>
      <c r="O83" s="673">
        <f>+N83/M83</f>
        <v>1</v>
      </c>
      <c r="P83" s="348">
        <v>4800000000</v>
      </c>
      <c r="Q83" s="685">
        <v>2000000000</v>
      </c>
      <c r="R83" s="673">
        <f>+Q83/P83</f>
        <v>0.41666666666666669</v>
      </c>
      <c r="S83" s="349"/>
      <c r="T83" s="473"/>
      <c r="U83" s="472"/>
      <c r="V83" s="474"/>
    </row>
    <row r="84" spans="1:22" ht="83.25" customHeight="1" outlineLevel="3">
      <c r="A84" s="342" t="s">
        <v>195</v>
      </c>
      <c r="B84" s="353" t="s">
        <v>156</v>
      </c>
      <c r="C84" s="547">
        <v>1</v>
      </c>
      <c r="D84" s="547">
        <v>0</v>
      </c>
      <c r="E84" s="530">
        <f>+D84/C84</f>
        <v>0</v>
      </c>
      <c r="F84" s="604" t="s">
        <v>196</v>
      </c>
      <c r="G84" s="534"/>
      <c r="H84" s="547">
        <v>2</v>
      </c>
      <c r="I84" s="664">
        <f>D84</f>
        <v>0</v>
      </c>
      <c r="J84" s="541">
        <f>+I84/H84</f>
        <v>0</v>
      </c>
      <c r="K84" s="637">
        <v>0.35</v>
      </c>
      <c r="L84" s="637">
        <v>0.3</v>
      </c>
      <c r="M84" s="685"/>
      <c r="N84" s="685"/>
      <c r="O84" s="677"/>
      <c r="P84" s="348"/>
      <c r="Q84" s="685"/>
      <c r="R84" s="677"/>
      <c r="S84" s="349"/>
      <c r="T84" s="473"/>
      <c r="U84" s="472"/>
      <c r="V84" s="474"/>
    </row>
    <row r="85" spans="1:22" ht="25.5" outlineLevel="3">
      <c r="A85" s="342" t="s">
        <v>197</v>
      </c>
      <c r="B85" s="353"/>
      <c r="C85" s="547"/>
      <c r="D85" s="547"/>
      <c r="E85" s="547"/>
      <c r="F85" s="604"/>
      <c r="G85" s="534"/>
      <c r="H85" s="547"/>
      <c r="I85" s="664"/>
      <c r="J85" s="541"/>
      <c r="K85" s="637"/>
      <c r="L85" s="637"/>
      <c r="M85" s="685">
        <v>5376651240</v>
      </c>
      <c r="N85" s="685">
        <v>5376651240</v>
      </c>
      <c r="O85" s="673">
        <f>+N85/M85</f>
        <v>1</v>
      </c>
      <c r="P85" s="348">
        <v>10161489589.5</v>
      </c>
      <c r="Q85" s="685">
        <v>5376651240</v>
      </c>
      <c r="R85" s="673">
        <f>+Q85/P85</f>
        <v>0.52912038069258704</v>
      </c>
      <c r="S85" s="349"/>
      <c r="T85" s="473"/>
      <c r="U85" s="472"/>
      <c r="V85" s="474"/>
    </row>
    <row r="86" spans="1:22" ht="85.5" customHeight="1" outlineLevel="3">
      <c r="A86" s="342" t="s">
        <v>198</v>
      </c>
      <c r="B86" s="353" t="s">
        <v>199</v>
      </c>
      <c r="C86" s="547">
        <v>300</v>
      </c>
      <c r="D86" s="547">
        <v>300</v>
      </c>
      <c r="E86" s="541">
        <f>+D86/C86</f>
        <v>1</v>
      </c>
      <c r="F86" s="604" t="s">
        <v>200</v>
      </c>
      <c r="G86" s="534"/>
      <c r="H86" s="547">
        <v>736</v>
      </c>
      <c r="I86" s="664">
        <f>D86</f>
        <v>300</v>
      </c>
      <c r="J86" s="541">
        <f>+I86/H86</f>
        <v>0.40760869565217389</v>
      </c>
      <c r="K86" s="637">
        <v>0.35</v>
      </c>
      <c r="L86" s="637">
        <v>0.3</v>
      </c>
      <c r="M86" s="685"/>
      <c r="N86" s="685"/>
      <c r="O86" s="677"/>
      <c r="P86" s="348"/>
      <c r="Q86" s="685"/>
      <c r="R86" s="677"/>
      <c r="S86" s="349"/>
      <c r="T86" s="473"/>
      <c r="U86" s="472"/>
      <c r="V86" s="474"/>
    </row>
    <row r="87" spans="1:22" ht="23.25" customHeight="1" outlineLevel="3">
      <c r="A87" s="342" t="s">
        <v>201</v>
      </c>
      <c r="B87" s="353"/>
      <c r="C87" s="547"/>
      <c r="D87" s="547"/>
      <c r="E87" s="547"/>
      <c r="F87" s="604"/>
      <c r="G87" s="534"/>
      <c r="H87" s="547"/>
      <c r="I87" s="664"/>
      <c r="J87" s="541"/>
      <c r="K87" s="541"/>
      <c r="L87" s="541"/>
      <c r="M87" s="690">
        <v>0</v>
      </c>
      <c r="N87" s="691">
        <v>0</v>
      </c>
      <c r="O87" s="677"/>
      <c r="P87" s="771">
        <v>10161489589.5</v>
      </c>
      <c r="Q87" s="691">
        <v>0</v>
      </c>
      <c r="R87" s="673">
        <f>+Q87/P87</f>
        <v>0</v>
      </c>
      <c r="S87" s="349"/>
      <c r="T87" s="473"/>
      <c r="U87" s="472"/>
      <c r="V87" s="474"/>
    </row>
    <row r="88" spans="1:22" ht="69" customHeight="1" outlineLevel="3">
      <c r="A88" s="342" t="s">
        <v>202</v>
      </c>
      <c r="B88" s="353" t="s">
        <v>170</v>
      </c>
      <c r="C88" s="547">
        <v>1</v>
      </c>
      <c r="D88" s="547">
        <v>1</v>
      </c>
      <c r="E88" s="530">
        <f>+D88/C88</f>
        <v>1</v>
      </c>
      <c r="F88" s="604" t="s">
        <v>203</v>
      </c>
      <c r="G88" s="534"/>
      <c r="H88" s="547">
        <v>4</v>
      </c>
      <c r="I88" s="664">
        <f>D88</f>
        <v>1</v>
      </c>
      <c r="J88" s="541">
        <f>+I88/H88</f>
        <v>0.25</v>
      </c>
      <c r="K88" s="637">
        <v>0.15</v>
      </c>
      <c r="L88" s="637">
        <v>0.1</v>
      </c>
      <c r="M88" s="688"/>
      <c r="N88" s="685"/>
      <c r="O88" s="677"/>
      <c r="P88" s="348"/>
      <c r="Q88" s="685"/>
      <c r="R88" s="677"/>
      <c r="S88" s="349"/>
      <c r="T88" s="473"/>
      <c r="U88" s="472"/>
      <c r="V88" s="474"/>
    </row>
    <row r="89" spans="1:22" ht="23.25" customHeight="1" outlineLevel="3">
      <c r="A89" s="342" t="s">
        <v>204</v>
      </c>
      <c r="B89" s="353"/>
      <c r="C89" s="547"/>
      <c r="D89" s="547"/>
      <c r="E89" s="547"/>
      <c r="F89" s="604"/>
      <c r="G89" s="534"/>
      <c r="H89" s="547"/>
      <c r="I89" s="664"/>
      <c r="J89" s="541"/>
      <c r="K89" s="637"/>
      <c r="L89" s="637"/>
      <c r="M89" s="685">
        <f>27218924156+4060422346.31</f>
        <v>31279346502.310001</v>
      </c>
      <c r="N89" s="685">
        <f>27218924156+3979322844.9</f>
        <v>31198247000.900002</v>
      </c>
      <c r="O89" s="673">
        <f>+N89/M89</f>
        <v>0.99740725077475612</v>
      </c>
      <c r="P89" s="348">
        <v>120850471775</v>
      </c>
      <c r="Q89" s="685">
        <f>27218924156+3979322844.9</f>
        <v>31198247000.900002</v>
      </c>
      <c r="R89" s="673">
        <f>+Q89/P89</f>
        <v>0.25815577335093115</v>
      </c>
      <c r="S89" s="349"/>
      <c r="T89" s="473"/>
      <c r="U89" s="472"/>
      <c r="V89" s="474"/>
    </row>
    <row r="90" spans="1:22" ht="59.25" customHeight="1" outlineLevel="3" thickBot="1">
      <c r="A90" s="488" t="s">
        <v>205</v>
      </c>
      <c r="B90" s="353" t="s">
        <v>180</v>
      </c>
      <c r="C90" s="547">
        <v>1</v>
      </c>
      <c r="D90" s="547">
        <v>1</v>
      </c>
      <c r="E90" s="530">
        <f>+D90/C90</f>
        <v>1</v>
      </c>
      <c r="F90" s="604" t="s">
        <v>206</v>
      </c>
      <c r="G90" s="534"/>
      <c r="H90" s="547">
        <v>4</v>
      </c>
      <c r="I90" s="664">
        <f>D90</f>
        <v>1</v>
      </c>
      <c r="J90" s="541">
        <f>+I90/H90</f>
        <v>0.25</v>
      </c>
      <c r="K90" s="637">
        <v>0.15</v>
      </c>
      <c r="L90" s="637">
        <v>0.1</v>
      </c>
      <c r="M90" s="685"/>
      <c r="N90" s="685"/>
      <c r="O90" s="677"/>
      <c r="P90" s="348"/>
      <c r="Q90" s="685"/>
      <c r="R90" s="677"/>
      <c r="S90" s="349"/>
      <c r="T90" s="484"/>
      <c r="U90" s="485"/>
      <c r="V90" s="486"/>
    </row>
    <row r="91" spans="1:22" ht="15.75" customHeight="1" thickBot="1">
      <c r="A91" s="489" t="s">
        <v>207</v>
      </c>
      <c r="B91" s="490"/>
      <c r="C91" s="552"/>
      <c r="D91" s="552"/>
      <c r="E91" s="553">
        <f>+E92*$K$92+E115*$K$115+E129*$K$129</f>
        <v>0.36</v>
      </c>
      <c r="F91" s="619"/>
      <c r="G91" s="553"/>
      <c r="H91" s="552"/>
      <c r="I91" s="668"/>
      <c r="J91" s="553">
        <f>+J92*$L$92+J115*$L$115+J129*$L$129</f>
        <v>4.5999999999999999E-2</v>
      </c>
      <c r="K91" s="642">
        <v>0.15</v>
      </c>
      <c r="L91" s="642">
        <v>0.15</v>
      </c>
      <c r="M91" s="681">
        <f>+SUM(M92,M115,M129)</f>
        <v>3645357966.5999999</v>
      </c>
      <c r="N91" s="681">
        <f>+SUM(N92,N115,N129)</f>
        <v>2671026967</v>
      </c>
      <c r="O91" s="671">
        <f>+N91/M91</f>
        <v>0.73272007618260004</v>
      </c>
      <c r="P91" s="681">
        <f>+SUM(P92,P115,P129)</f>
        <v>26047160427</v>
      </c>
      <c r="Q91" s="681">
        <f>+SUM(Q92,Q115,Q129)</f>
        <v>2671026967</v>
      </c>
      <c r="R91" s="671">
        <f>+Q91/P91</f>
        <v>0.10254580242962927</v>
      </c>
      <c r="S91" s="491"/>
      <c r="T91" s="492"/>
      <c r="U91" s="493"/>
      <c r="V91" s="494"/>
    </row>
    <row r="92" spans="1:22" ht="13.5" outlineLevel="1" thickBot="1">
      <c r="A92" s="504" t="s">
        <v>208</v>
      </c>
      <c r="B92" s="510"/>
      <c r="C92" s="548"/>
      <c r="D92" s="548"/>
      <c r="E92" s="549">
        <f>+E93*$K$93+E104*$K$104</f>
        <v>0</v>
      </c>
      <c r="F92" s="617"/>
      <c r="G92" s="549"/>
      <c r="H92" s="548"/>
      <c r="I92" s="666"/>
      <c r="J92" s="549">
        <f>+J93*$L$93+J104*$L$104</f>
        <v>0</v>
      </c>
      <c r="K92" s="635">
        <v>0.3</v>
      </c>
      <c r="L92" s="635">
        <v>0.3</v>
      </c>
      <c r="M92" s="687">
        <f>+SUM(M93,M104)</f>
        <v>1632044450.8399999</v>
      </c>
      <c r="N92" s="687">
        <f>+SUM(N93,N104)</f>
        <v>1620388056</v>
      </c>
      <c r="O92" s="536">
        <f>+N92/M92</f>
        <v>0.99285779573344313</v>
      </c>
      <c r="P92" s="687">
        <f>+SUM(P93,P104)</f>
        <v>9830000000</v>
      </c>
      <c r="Q92" s="687">
        <f>+SUM(Q93,Q104)</f>
        <v>1620388056</v>
      </c>
      <c r="R92" s="536">
        <f>+Q92/P92</f>
        <v>0.16484110437436419</v>
      </c>
      <c r="S92" s="505"/>
      <c r="T92" s="507"/>
      <c r="U92" s="508"/>
      <c r="V92" s="509"/>
    </row>
    <row r="93" spans="1:22" outlineLevel="2">
      <c r="A93" s="512" t="s">
        <v>209</v>
      </c>
      <c r="B93" s="513"/>
      <c r="C93" s="550"/>
      <c r="D93" s="550"/>
      <c r="E93" s="540">
        <f>+E95*$K$95+E97*$K$97+E99*$K$99+E101*$K$101+E103*$K$103</f>
        <v>0</v>
      </c>
      <c r="F93" s="618"/>
      <c r="G93" s="540"/>
      <c r="H93" s="550"/>
      <c r="I93" s="667"/>
      <c r="J93" s="540">
        <f>+J95*$L$95+J97*$L$97+J99*$L$99+J101*$L$101+J103*$L$103</f>
        <v>0</v>
      </c>
      <c r="K93" s="636">
        <v>0</v>
      </c>
      <c r="L93" s="636">
        <v>0.5</v>
      </c>
      <c r="M93" s="688">
        <f>+SUM(M94:M103)</f>
        <v>212044450.84</v>
      </c>
      <c r="N93" s="688">
        <f>+SUM(N94:N103)</f>
        <v>202888056</v>
      </c>
      <c r="O93" s="673">
        <f>+N93/M93</f>
        <v>0.95681851232735615</v>
      </c>
      <c r="P93" s="688">
        <f>+SUM(P94:P103)</f>
        <v>5100000000</v>
      </c>
      <c r="Q93" s="688">
        <f>+SUM(Q94:Q103)</f>
        <v>202888056</v>
      </c>
      <c r="R93" s="673">
        <f>+Q93/P93</f>
        <v>3.9781971764705881E-2</v>
      </c>
      <c r="S93" s="487"/>
      <c r="T93" s="475"/>
      <c r="U93" s="476"/>
      <c r="V93" s="477"/>
    </row>
    <row r="94" spans="1:22" ht="25.5" outlineLevel="3">
      <c r="A94" s="342" t="s">
        <v>210</v>
      </c>
      <c r="B94" s="353"/>
      <c r="C94" s="547"/>
      <c r="D94" s="547"/>
      <c r="E94" s="547"/>
      <c r="F94" s="604"/>
      <c r="G94" s="534"/>
      <c r="H94" s="547"/>
      <c r="I94" s="664"/>
      <c r="J94" s="541"/>
      <c r="K94" s="637"/>
      <c r="L94" s="637"/>
      <c r="M94" s="685">
        <v>0</v>
      </c>
      <c r="N94" s="685">
        <v>0</v>
      </c>
      <c r="O94" s="677"/>
      <c r="P94" s="348">
        <v>1500000000</v>
      </c>
      <c r="Q94" s="685">
        <v>0</v>
      </c>
      <c r="R94" s="673">
        <f>+Q94/P94</f>
        <v>0</v>
      </c>
      <c r="S94" s="349"/>
      <c r="T94" s="473"/>
      <c r="U94" s="472"/>
      <c r="V94" s="474"/>
    </row>
    <row r="95" spans="1:22" outlineLevel="3">
      <c r="A95" s="342" t="s">
        <v>211</v>
      </c>
      <c r="B95" s="353" t="s">
        <v>212</v>
      </c>
      <c r="C95" s="547">
        <v>0</v>
      </c>
      <c r="D95" s="547">
        <v>0</v>
      </c>
      <c r="E95" s="528">
        <v>0</v>
      </c>
      <c r="F95" s="604"/>
      <c r="G95" s="534"/>
      <c r="H95" s="547">
        <v>150</v>
      </c>
      <c r="I95" s="664">
        <f>D95</f>
        <v>0</v>
      </c>
      <c r="J95" s="541">
        <f>+I95/H95</f>
        <v>0</v>
      </c>
      <c r="K95" s="637">
        <v>0</v>
      </c>
      <c r="L95" s="637">
        <v>0.25</v>
      </c>
      <c r="M95" s="685"/>
      <c r="N95" s="685"/>
      <c r="O95" s="677"/>
      <c r="P95" s="348"/>
      <c r="Q95" s="685"/>
      <c r="R95" s="677"/>
      <c r="S95" s="349"/>
      <c r="T95" s="473"/>
      <c r="U95" s="472"/>
      <c r="V95" s="474"/>
    </row>
    <row r="96" spans="1:22" ht="45.75" customHeight="1" outlineLevel="3">
      <c r="A96" s="342" t="s">
        <v>213</v>
      </c>
      <c r="B96" s="353"/>
      <c r="C96" s="547"/>
      <c r="D96" s="547"/>
      <c r="E96" s="547"/>
      <c r="F96" s="604"/>
      <c r="G96" s="534"/>
      <c r="H96" s="547"/>
      <c r="I96" s="664"/>
      <c r="J96" s="541"/>
      <c r="K96" s="637"/>
      <c r="L96" s="637"/>
      <c r="M96" s="685">
        <v>0</v>
      </c>
      <c r="N96" s="685">
        <v>0</v>
      </c>
      <c r="O96" s="677"/>
      <c r="P96" s="348">
        <v>900000000</v>
      </c>
      <c r="Q96" s="685">
        <v>0</v>
      </c>
      <c r="R96" s="673">
        <f>+Q96/P96</f>
        <v>0</v>
      </c>
      <c r="S96" s="349"/>
      <c r="T96" s="473"/>
      <c r="U96" s="472"/>
      <c r="V96" s="474"/>
    </row>
    <row r="97" spans="1:22" outlineLevel="3">
      <c r="A97" s="342" t="s">
        <v>214</v>
      </c>
      <c r="B97" s="353" t="s">
        <v>215</v>
      </c>
      <c r="C97" s="547">
        <v>0</v>
      </c>
      <c r="D97" s="547">
        <v>0</v>
      </c>
      <c r="E97" s="528">
        <v>0</v>
      </c>
      <c r="F97" s="604"/>
      <c r="G97" s="534"/>
      <c r="H97" s="547">
        <v>150000</v>
      </c>
      <c r="I97" s="664">
        <f>D97</f>
        <v>0</v>
      </c>
      <c r="J97" s="541">
        <f>+I97/H97</f>
        <v>0</v>
      </c>
      <c r="K97" s="637">
        <v>0</v>
      </c>
      <c r="L97" s="637">
        <v>0.2</v>
      </c>
      <c r="M97" s="685"/>
      <c r="N97" s="685"/>
      <c r="O97" s="677"/>
      <c r="P97" s="348"/>
      <c r="Q97" s="685"/>
      <c r="R97" s="677"/>
      <c r="S97" s="349"/>
      <c r="T97" s="473"/>
      <c r="U97" s="472"/>
      <c r="V97" s="474"/>
    </row>
    <row r="98" spans="1:22" ht="51" customHeight="1" outlineLevel="3">
      <c r="A98" s="342" t="s">
        <v>216</v>
      </c>
      <c r="B98" s="353"/>
      <c r="C98" s="547"/>
      <c r="D98" s="547"/>
      <c r="E98" s="547"/>
      <c r="F98" s="604"/>
      <c r="G98" s="534"/>
      <c r="H98" s="547"/>
      <c r="I98" s="664"/>
      <c r="J98" s="541"/>
      <c r="K98" s="637"/>
      <c r="L98" s="637"/>
      <c r="M98" s="685">
        <v>0</v>
      </c>
      <c r="N98" s="685">
        <v>0</v>
      </c>
      <c r="O98" s="677"/>
      <c r="P98" s="348">
        <v>800000000</v>
      </c>
      <c r="Q98" s="685">
        <v>0</v>
      </c>
      <c r="R98" s="673">
        <f>+Q98/P98</f>
        <v>0</v>
      </c>
      <c r="S98" s="349"/>
      <c r="T98" s="473"/>
      <c r="U98" s="472"/>
      <c r="V98" s="474"/>
    </row>
    <row r="99" spans="1:22" ht="25.5" outlineLevel="3">
      <c r="A99" s="342" t="s">
        <v>217</v>
      </c>
      <c r="B99" s="353" t="s">
        <v>218</v>
      </c>
      <c r="C99" s="547">
        <v>0</v>
      </c>
      <c r="D99" s="547">
        <v>0</v>
      </c>
      <c r="E99" s="528">
        <v>0</v>
      </c>
      <c r="F99" s="604"/>
      <c r="G99" s="534"/>
      <c r="H99" s="547">
        <v>4</v>
      </c>
      <c r="I99" s="664">
        <f>D99</f>
        <v>0</v>
      </c>
      <c r="J99" s="541">
        <f>+I99/H99</f>
        <v>0</v>
      </c>
      <c r="K99" s="637">
        <v>0</v>
      </c>
      <c r="L99" s="637">
        <v>0.15</v>
      </c>
      <c r="M99" s="685"/>
      <c r="N99" s="685"/>
      <c r="O99" s="677"/>
      <c r="P99" s="348"/>
      <c r="Q99" s="685"/>
      <c r="R99" s="677"/>
      <c r="S99" s="349"/>
      <c r="T99" s="473"/>
      <c r="U99" s="472"/>
      <c r="V99" s="474"/>
    </row>
    <row r="100" spans="1:22" ht="38.25" outlineLevel="3">
      <c r="A100" s="342" t="s">
        <v>219</v>
      </c>
      <c r="B100" s="353"/>
      <c r="C100" s="547"/>
      <c r="D100" s="547"/>
      <c r="E100" s="547"/>
      <c r="F100" s="604"/>
      <c r="G100" s="534"/>
      <c r="H100" s="547"/>
      <c r="I100" s="664"/>
      <c r="J100" s="541"/>
      <c r="K100" s="637"/>
      <c r="L100" s="637"/>
      <c r="M100" s="685">
        <v>212044450.84</v>
      </c>
      <c r="N100" s="685">
        <v>202888056</v>
      </c>
      <c r="O100" s="673">
        <f>+N100/M100</f>
        <v>0.95681851232735615</v>
      </c>
      <c r="P100" s="348">
        <v>900000000</v>
      </c>
      <c r="Q100" s="685">
        <v>202888056</v>
      </c>
      <c r="R100" s="673">
        <f>+Q100/P100</f>
        <v>0.22543117333333335</v>
      </c>
      <c r="S100" s="349"/>
      <c r="T100" s="473"/>
      <c r="U100" s="472"/>
      <c r="V100" s="474"/>
    </row>
    <row r="101" spans="1:22" outlineLevel="3">
      <c r="A101" s="342" t="s">
        <v>220</v>
      </c>
      <c r="B101" s="353" t="s">
        <v>221</v>
      </c>
      <c r="C101" s="547">
        <v>0</v>
      </c>
      <c r="D101" s="547">
        <v>0</v>
      </c>
      <c r="E101" s="528">
        <v>0</v>
      </c>
      <c r="F101" s="604"/>
      <c r="G101" s="534"/>
      <c r="H101" s="547">
        <v>2</v>
      </c>
      <c r="I101" s="664">
        <f>D101</f>
        <v>0</v>
      </c>
      <c r="J101" s="541">
        <f>+I101/H101</f>
        <v>0</v>
      </c>
      <c r="K101" s="637">
        <v>0</v>
      </c>
      <c r="L101" s="637">
        <v>0.2</v>
      </c>
      <c r="M101" s="685"/>
      <c r="N101" s="685"/>
      <c r="O101" s="677"/>
      <c r="P101" s="348"/>
      <c r="Q101" s="685"/>
      <c r="R101" s="677"/>
      <c r="S101" s="349"/>
      <c r="T101" s="473"/>
      <c r="U101" s="472"/>
      <c r="V101" s="474"/>
    </row>
    <row r="102" spans="1:22" ht="25.5" outlineLevel="3">
      <c r="A102" s="342" t="s">
        <v>222</v>
      </c>
      <c r="B102" s="353"/>
      <c r="C102" s="547"/>
      <c r="D102" s="547"/>
      <c r="E102" s="547"/>
      <c r="F102" s="604"/>
      <c r="G102" s="534"/>
      <c r="H102" s="547"/>
      <c r="I102" s="664"/>
      <c r="J102" s="541"/>
      <c r="K102" s="637"/>
      <c r="L102" s="637"/>
      <c r="M102" s="685">
        <v>0</v>
      </c>
      <c r="N102" s="685">
        <v>0</v>
      </c>
      <c r="O102" s="677"/>
      <c r="P102" s="348">
        <v>1000000000</v>
      </c>
      <c r="Q102" s="685">
        <v>0</v>
      </c>
      <c r="R102" s="673">
        <f>+Q102/P102</f>
        <v>0</v>
      </c>
      <c r="S102" s="349"/>
      <c r="T102" s="473"/>
      <c r="U102" s="472"/>
      <c r="V102" s="474"/>
    </row>
    <row r="103" spans="1:22" outlineLevel="3">
      <c r="A103" s="342" t="s">
        <v>223</v>
      </c>
      <c r="B103" s="353" t="s">
        <v>212</v>
      </c>
      <c r="C103" s="547">
        <v>0</v>
      </c>
      <c r="D103" s="547">
        <v>0</v>
      </c>
      <c r="E103" s="528">
        <v>0</v>
      </c>
      <c r="F103" s="604"/>
      <c r="G103" s="534"/>
      <c r="H103" s="547">
        <v>100</v>
      </c>
      <c r="I103" s="664">
        <f>D103</f>
        <v>0</v>
      </c>
      <c r="J103" s="541">
        <f>+I103/H103</f>
        <v>0</v>
      </c>
      <c r="K103" s="637">
        <v>0</v>
      </c>
      <c r="L103" s="637">
        <v>0.2</v>
      </c>
      <c r="M103" s="685"/>
      <c r="N103" s="685"/>
      <c r="O103" s="677"/>
      <c r="P103" s="348"/>
      <c r="Q103" s="685"/>
      <c r="R103" s="677"/>
      <c r="S103" s="349"/>
      <c r="T103" s="473"/>
      <c r="U103" s="472"/>
      <c r="V103" s="474"/>
    </row>
    <row r="104" spans="1:22" outlineLevel="2">
      <c r="A104" s="511" t="s">
        <v>224</v>
      </c>
      <c r="B104" s="514"/>
      <c r="C104" s="554"/>
      <c r="D104" s="554"/>
      <c r="E104" s="555">
        <f>+E106*$K$106+E108*$K$108+E110*$K$110+E112*$K$112+E114*$K$114</f>
        <v>0</v>
      </c>
      <c r="F104" s="620"/>
      <c r="G104" s="555"/>
      <c r="H104" s="554"/>
      <c r="I104" s="665"/>
      <c r="J104" s="555">
        <f>+J106*$L$106+J108*$L$108+J110*$L$110+J112*$L$112+J114*$L$114</f>
        <v>0</v>
      </c>
      <c r="K104" s="638">
        <v>1</v>
      </c>
      <c r="L104" s="638">
        <v>0.5</v>
      </c>
      <c r="M104" s="688">
        <f>+SUM(M105:M114)</f>
        <v>1420000000</v>
      </c>
      <c r="N104" s="688">
        <f>+SUM(N105:N114)</f>
        <v>1417500000</v>
      </c>
      <c r="O104" s="673">
        <f>+N104/M104</f>
        <v>0.99823943661971826</v>
      </c>
      <c r="P104" s="688">
        <f>+SUM(P105:P114)</f>
        <v>4730000000</v>
      </c>
      <c r="Q104" s="688">
        <f>+SUM(Q105:Q114)</f>
        <v>1417500000</v>
      </c>
      <c r="R104" s="673">
        <f>+Q104/P104</f>
        <v>0.29968287526427062</v>
      </c>
      <c r="S104" s="349"/>
      <c r="T104" s="473"/>
      <c r="U104" s="472"/>
      <c r="V104" s="474"/>
    </row>
    <row r="105" spans="1:22" ht="25.5" outlineLevel="3">
      <c r="A105" s="342" t="s">
        <v>225</v>
      </c>
      <c r="B105" s="353"/>
      <c r="C105" s="547"/>
      <c r="D105" s="547"/>
      <c r="E105" s="547"/>
      <c r="F105" s="604"/>
      <c r="G105" s="534"/>
      <c r="H105" s="547"/>
      <c r="I105" s="664"/>
      <c r="J105" s="541"/>
      <c r="K105" s="637"/>
      <c r="L105" s="637"/>
      <c r="M105" s="685">
        <v>300000000</v>
      </c>
      <c r="N105" s="685">
        <v>300000000</v>
      </c>
      <c r="O105" s="673">
        <f>+N105/M105</f>
        <v>1</v>
      </c>
      <c r="P105" s="348">
        <v>300000000</v>
      </c>
      <c r="Q105" s="685">
        <v>300000000</v>
      </c>
      <c r="R105" s="673">
        <f>+Q105/P105</f>
        <v>1</v>
      </c>
      <c r="S105" s="349"/>
      <c r="T105" s="473"/>
      <c r="U105" s="472"/>
      <c r="V105" s="474"/>
    </row>
    <row r="106" spans="1:22" ht="63.95" customHeight="1" outlineLevel="3">
      <c r="A106" s="342" t="s">
        <v>226</v>
      </c>
      <c r="B106" s="353" t="s">
        <v>170</v>
      </c>
      <c r="C106" s="547">
        <v>1</v>
      </c>
      <c r="D106" s="547">
        <v>0</v>
      </c>
      <c r="E106" s="530">
        <f>+D106/C106</f>
        <v>0</v>
      </c>
      <c r="F106" s="604" t="s">
        <v>227</v>
      </c>
      <c r="G106" s="534"/>
      <c r="H106" s="547">
        <v>1</v>
      </c>
      <c r="I106" s="664">
        <f>D106</f>
        <v>0</v>
      </c>
      <c r="J106" s="541">
        <f>+I106/H106</f>
        <v>0</v>
      </c>
      <c r="K106" s="637">
        <v>0.15</v>
      </c>
      <c r="L106" s="637">
        <v>0.1</v>
      </c>
      <c r="M106" s="685"/>
      <c r="N106" s="685"/>
      <c r="O106" s="677"/>
      <c r="P106" s="348"/>
      <c r="Q106" s="685"/>
      <c r="R106" s="677"/>
      <c r="S106" s="349"/>
      <c r="T106" s="473"/>
      <c r="U106" s="472"/>
      <c r="V106" s="474"/>
    </row>
    <row r="107" spans="1:22" ht="25.5" outlineLevel="3">
      <c r="A107" s="342" t="s">
        <v>228</v>
      </c>
      <c r="B107" s="353"/>
      <c r="C107" s="547"/>
      <c r="D107" s="547"/>
      <c r="E107" s="547"/>
      <c r="F107" s="604"/>
      <c r="G107" s="534"/>
      <c r="H107" s="547"/>
      <c r="I107" s="664"/>
      <c r="J107" s="541"/>
      <c r="K107" s="637"/>
      <c r="L107" s="637"/>
      <c r="M107" s="685">
        <v>0</v>
      </c>
      <c r="N107" s="685">
        <v>0</v>
      </c>
      <c r="O107" s="677"/>
      <c r="P107" s="348">
        <v>1200000000</v>
      </c>
      <c r="Q107" s="685">
        <v>0</v>
      </c>
      <c r="R107" s="673">
        <f>+Q107/P107</f>
        <v>0</v>
      </c>
      <c r="S107" s="349"/>
      <c r="T107" s="473"/>
      <c r="U107" s="472"/>
      <c r="V107" s="474"/>
    </row>
    <row r="108" spans="1:22" outlineLevel="3">
      <c r="A108" s="342" t="s">
        <v>229</v>
      </c>
      <c r="B108" s="353" t="s">
        <v>230</v>
      </c>
      <c r="C108" s="547">
        <v>0</v>
      </c>
      <c r="D108" s="547">
        <v>0</v>
      </c>
      <c r="E108" s="528">
        <v>0</v>
      </c>
      <c r="F108" s="604"/>
      <c r="G108" s="534"/>
      <c r="H108" s="547">
        <v>6</v>
      </c>
      <c r="I108" s="664">
        <f>D108</f>
        <v>0</v>
      </c>
      <c r="J108" s="541">
        <f>+I108/H108</f>
        <v>0</v>
      </c>
      <c r="K108" s="637">
        <v>0</v>
      </c>
      <c r="L108" s="637">
        <v>0.2</v>
      </c>
      <c r="M108" s="685"/>
      <c r="N108" s="685"/>
      <c r="O108" s="677"/>
      <c r="P108" s="348"/>
      <c r="Q108" s="685"/>
      <c r="R108" s="677"/>
      <c r="S108" s="349"/>
      <c r="T108" s="473"/>
      <c r="U108" s="472"/>
      <c r="V108" s="474"/>
    </row>
    <row r="109" spans="1:22" ht="25.5" outlineLevel="3">
      <c r="A109" s="342" t="s">
        <v>231</v>
      </c>
      <c r="B109" s="353"/>
      <c r="C109" s="547"/>
      <c r="D109" s="547"/>
      <c r="E109" s="547"/>
      <c r="F109" s="604"/>
      <c r="G109" s="534"/>
      <c r="H109" s="547"/>
      <c r="I109" s="664"/>
      <c r="J109" s="541"/>
      <c r="K109" s="637"/>
      <c r="L109" s="637"/>
      <c r="M109" s="685">
        <v>220000000</v>
      </c>
      <c r="N109" s="685">
        <v>220000000</v>
      </c>
      <c r="O109" s="673">
        <f>+N109/M109</f>
        <v>1</v>
      </c>
      <c r="P109" s="348">
        <v>880000000</v>
      </c>
      <c r="Q109" s="685">
        <v>220000000</v>
      </c>
      <c r="R109" s="673">
        <f>+Q109/P109</f>
        <v>0.25</v>
      </c>
      <c r="S109" s="349"/>
      <c r="T109" s="473"/>
      <c r="U109" s="472"/>
      <c r="V109" s="474"/>
    </row>
    <row r="110" spans="1:22" ht="57" customHeight="1" outlineLevel="3">
      <c r="A110" s="342" t="s">
        <v>232</v>
      </c>
      <c r="B110" s="353" t="s">
        <v>156</v>
      </c>
      <c r="C110" s="547">
        <v>1</v>
      </c>
      <c r="D110" s="547">
        <v>0</v>
      </c>
      <c r="E110" s="530">
        <f>+D110/C110</f>
        <v>0</v>
      </c>
      <c r="F110" s="604" t="s">
        <v>233</v>
      </c>
      <c r="G110" s="603"/>
      <c r="H110" s="547">
        <v>4</v>
      </c>
      <c r="I110" s="664">
        <f>D110</f>
        <v>0</v>
      </c>
      <c r="J110" s="541">
        <f>+I110/H110</f>
        <v>0</v>
      </c>
      <c r="K110" s="637">
        <v>0.25</v>
      </c>
      <c r="L110" s="637">
        <v>0.2</v>
      </c>
      <c r="M110" s="685"/>
      <c r="N110" s="685"/>
      <c r="O110" s="677"/>
      <c r="P110" s="348"/>
      <c r="Q110" s="685"/>
      <c r="R110" s="677"/>
      <c r="S110" s="349"/>
      <c r="T110" s="473"/>
      <c r="U110" s="472"/>
      <c r="V110" s="474"/>
    </row>
    <row r="111" spans="1:22" outlineLevel="3">
      <c r="A111" s="342" t="s">
        <v>234</v>
      </c>
      <c r="B111" s="353"/>
      <c r="C111" s="547"/>
      <c r="D111" s="547"/>
      <c r="E111" s="547"/>
      <c r="F111" s="604"/>
      <c r="G111" s="534"/>
      <c r="H111" s="547"/>
      <c r="I111" s="664"/>
      <c r="J111" s="541"/>
      <c r="K111" s="637"/>
      <c r="L111" s="637"/>
      <c r="M111" s="685">
        <v>500000000</v>
      </c>
      <c r="N111" s="685">
        <v>500000000</v>
      </c>
      <c r="O111" s="673">
        <f>+N111/M111</f>
        <v>1</v>
      </c>
      <c r="P111" s="348">
        <v>600000000</v>
      </c>
      <c r="Q111" s="685">
        <v>500000000</v>
      </c>
      <c r="R111" s="673">
        <f>+Q111/P111</f>
        <v>0.83333333333333337</v>
      </c>
      <c r="S111" s="349"/>
      <c r="T111" s="473"/>
      <c r="U111" s="472"/>
      <c r="V111" s="474"/>
    </row>
    <row r="112" spans="1:22" ht="51.4" customHeight="1" outlineLevel="3">
      <c r="A112" s="342" t="s">
        <v>235</v>
      </c>
      <c r="B112" s="353" t="s">
        <v>176</v>
      </c>
      <c r="C112" s="547">
        <v>1</v>
      </c>
      <c r="D112" s="547">
        <v>0</v>
      </c>
      <c r="E112" s="530">
        <f>+D112/C112</f>
        <v>0</v>
      </c>
      <c r="F112" s="604" t="s">
        <v>236</v>
      </c>
      <c r="G112" s="534"/>
      <c r="H112" s="547">
        <v>1</v>
      </c>
      <c r="I112" s="664">
        <f>D112</f>
        <v>0</v>
      </c>
      <c r="J112" s="541">
        <f>+I112/H112</f>
        <v>0</v>
      </c>
      <c r="K112" s="637">
        <v>0.25</v>
      </c>
      <c r="L112" s="637">
        <v>0.2</v>
      </c>
      <c r="M112" s="685"/>
      <c r="N112" s="685"/>
      <c r="O112" s="677"/>
      <c r="P112" s="348"/>
      <c r="Q112" s="685"/>
      <c r="R112" s="677"/>
      <c r="S112" s="349"/>
      <c r="T112" s="473"/>
      <c r="U112" s="472"/>
      <c r="V112" s="474"/>
    </row>
    <row r="113" spans="1:22" outlineLevel="3">
      <c r="A113" s="342" t="s">
        <v>237</v>
      </c>
      <c r="B113" s="353"/>
      <c r="C113" s="547"/>
      <c r="D113" s="547"/>
      <c r="E113" s="547"/>
      <c r="F113" s="604"/>
      <c r="G113" s="534"/>
      <c r="H113" s="547"/>
      <c r="I113" s="664"/>
      <c r="J113" s="541"/>
      <c r="K113" s="637"/>
      <c r="L113" s="637"/>
      <c r="M113" s="685">
        <v>400000000</v>
      </c>
      <c r="N113" s="685">
        <v>397500000</v>
      </c>
      <c r="O113" s="673">
        <f>+N113/M113</f>
        <v>0.99375000000000002</v>
      </c>
      <c r="P113" s="348">
        <v>1750000000</v>
      </c>
      <c r="Q113" s="685">
        <v>397500000</v>
      </c>
      <c r="R113" s="673">
        <f>+Q113/P113</f>
        <v>0.22714285714285715</v>
      </c>
      <c r="S113" s="349"/>
      <c r="T113" s="473"/>
      <c r="U113" s="472"/>
      <c r="V113" s="474"/>
    </row>
    <row r="114" spans="1:22" ht="63.95" customHeight="1" outlineLevel="3" thickBot="1">
      <c r="A114" s="488" t="s">
        <v>238</v>
      </c>
      <c r="B114" s="353" t="s">
        <v>187</v>
      </c>
      <c r="C114" s="547">
        <v>2</v>
      </c>
      <c r="D114" s="547">
        <v>0</v>
      </c>
      <c r="E114" s="530">
        <f>+D114/C114</f>
        <v>0</v>
      </c>
      <c r="F114" s="604" t="s">
        <v>233</v>
      </c>
      <c r="G114" s="534"/>
      <c r="H114" s="547">
        <v>7</v>
      </c>
      <c r="I114" s="664">
        <f>D114</f>
        <v>0</v>
      </c>
      <c r="J114" s="541">
        <f>+I114/H114</f>
        <v>0</v>
      </c>
      <c r="K114" s="637">
        <v>0.35</v>
      </c>
      <c r="L114" s="637">
        <v>0.3</v>
      </c>
      <c r="M114" s="685"/>
      <c r="N114" s="685"/>
      <c r="O114" s="677"/>
      <c r="P114" s="348"/>
      <c r="Q114" s="685"/>
      <c r="R114" s="677"/>
      <c r="S114" s="349"/>
      <c r="T114" s="484"/>
      <c r="U114" s="485"/>
      <c r="V114" s="486"/>
    </row>
    <row r="115" spans="1:22" ht="13.5" outlineLevel="1" thickBot="1">
      <c r="A115" s="504" t="s">
        <v>239</v>
      </c>
      <c r="B115" s="510"/>
      <c r="C115" s="548"/>
      <c r="D115" s="548"/>
      <c r="E115" s="549">
        <f>+E116*$K$116+E121*$K$121+E124*$K$124</f>
        <v>0.8</v>
      </c>
      <c r="F115" s="617"/>
      <c r="G115" s="549"/>
      <c r="H115" s="548"/>
      <c r="I115" s="666"/>
      <c r="J115" s="549">
        <f>+J116*$L$116+J121*$L$121+J124*$L$124</f>
        <v>0.12</v>
      </c>
      <c r="K115" s="635">
        <v>0.3</v>
      </c>
      <c r="L115" s="635">
        <v>0.3</v>
      </c>
      <c r="M115" s="687">
        <f>+SUM(M116,M121,M124)</f>
        <v>946153088.75999999</v>
      </c>
      <c r="N115" s="687">
        <f>+SUM(N116,N121,N124)</f>
        <v>837503911</v>
      </c>
      <c r="O115" s="536">
        <f>+N115/M115</f>
        <v>0.88516744377763179</v>
      </c>
      <c r="P115" s="687">
        <f>+SUM(P116,P121,P124)</f>
        <v>4850000000</v>
      </c>
      <c r="Q115" s="687">
        <f>+SUM(Q116,Q121,Q124)</f>
        <v>837503911</v>
      </c>
      <c r="R115" s="536">
        <f>+Q115/P115</f>
        <v>0.17268121876288658</v>
      </c>
      <c r="S115" s="505"/>
      <c r="T115" s="507"/>
      <c r="U115" s="508"/>
      <c r="V115" s="509"/>
    </row>
    <row r="116" spans="1:22" outlineLevel="2">
      <c r="A116" s="512" t="s">
        <v>240</v>
      </c>
      <c r="B116" s="513"/>
      <c r="C116" s="550"/>
      <c r="D116" s="550"/>
      <c r="E116" s="595">
        <f>+E118*$K$118+E120*$K$120</f>
        <v>0</v>
      </c>
      <c r="F116" s="618"/>
      <c r="G116" s="595"/>
      <c r="H116" s="550"/>
      <c r="I116" s="667"/>
      <c r="J116" s="595">
        <f>+J118*$L$118+J120*$L$120</f>
        <v>0</v>
      </c>
      <c r="K116" s="636">
        <v>0</v>
      </c>
      <c r="L116" s="636">
        <v>0.3</v>
      </c>
      <c r="M116" s="688">
        <f>+SUM(M117:M120)</f>
        <v>0</v>
      </c>
      <c r="N116" s="688">
        <f>+SUM(N117:N120)</f>
        <v>0</v>
      </c>
      <c r="O116" s="678"/>
      <c r="P116" s="688">
        <f>+SUM(P117:P120)</f>
        <v>1450000000</v>
      </c>
      <c r="Q116" s="688">
        <f>+SUM(Q117:Q120)</f>
        <v>0</v>
      </c>
      <c r="R116" s="673">
        <f>+Q116/P116</f>
        <v>0</v>
      </c>
      <c r="S116" s="487"/>
      <c r="T116" s="475"/>
      <c r="U116" s="476"/>
      <c r="V116" s="477"/>
    </row>
    <row r="117" spans="1:22" ht="25.5" outlineLevel="3">
      <c r="A117" s="342" t="s">
        <v>241</v>
      </c>
      <c r="B117" s="353"/>
      <c r="C117" s="547"/>
      <c r="D117" s="547"/>
      <c r="E117" s="547"/>
      <c r="F117" s="604"/>
      <c r="G117" s="534"/>
      <c r="H117" s="547"/>
      <c r="I117" s="664"/>
      <c r="J117" s="541"/>
      <c r="K117" s="637"/>
      <c r="L117" s="637"/>
      <c r="M117" s="685">
        <v>0</v>
      </c>
      <c r="N117" s="685">
        <v>0</v>
      </c>
      <c r="O117" s="677"/>
      <c r="P117" s="348">
        <v>450000000</v>
      </c>
      <c r="Q117" s="685">
        <v>0</v>
      </c>
      <c r="R117" s="673">
        <f>+Q117/P117</f>
        <v>0</v>
      </c>
      <c r="S117" s="349"/>
      <c r="T117" s="473"/>
      <c r="U117" s="472"/>
      <c r="V117" s="474"/>
    </row>
    <row r="118" spans="1:22" outlineLevel="3">
      <c r="A118" s="342" t="s">
        <v>242</v>
      </c>
      <c r="B118" s="353" t="s">
        <v>243</v>
      </c>
      <c r="C118" s="547">
        <v>0</v>
      </c>
      <c r="D118" s="547">
        <v>0</v>
      </c>
      <c r="E118" s="528">
        <v>0</v>
      </c>
      <c r="F118" s="604"/>
      <c r="G118" s="534"/>
      <c r="H118" s="547">
        <v>3</v>
      </c>
      <c r="I118" s="664">
        <f>D118</f>
        <v>0</v>
      </c>
      <c r="J118" s="541">
        <f>+I118/H118</f>
        <v>0</v>
      </c>
      <c r="K118" s="637">
        <v>0</v>
      </c>
      <c r="L118" s="637">
        <v>0.3</v>
      </c>
      <c r="M118" s="685"/>
      <c r="N118" s="685"/>
      <c r="O118" s="677"/>
      <c r="P118" s="348"/>
      <c r="Q118" s="685"/>
      <c r="R118" s="677"/>
      <c r="S118" s="349"/>
      <c r="T118" s="473"/>
      <c r="U118" s="472"/>
      <c r="V118" s="474"/>
    </row>
    <row r="119" spans="1:22" ht="25.5" outlineLevel="3">
      <c r="A119" s="342" t="s">
        <v>244</v>
      </c>
      <c r="B119" s="353"/>
      <c r="C119" s="547"/>
      <c r="D119" s="547"/>
      <c r="E119" s="547"/>
      <c r="F119" s="604"/>
      <c r="G119" s="534"/>
      <c r="H119" s="547"/>
      <c r="I119" s="664"/>
      <c r="J119" s="541"/>
      <c r="K119" s="637"/>
      <c r="L119" s="637"/>
      <c r="M119" s="685">
        <v>0</v>
      </c>
      <c r="N119" s="685">
        <v>0</v>
      </c>
      <c r="O119" s="677"/>
      <c r="P119" s="348">
        <v>1000000000</v>
      </c>
      <c r="Q119" s="685">
        <v>0</v>
      </c>
      <c r="R119" s="673">
        <f>+Q119/P119</f>
        <v>0</v>
      </c>
      <c r="S119" s="349"/>
      <c r="T119" s="473"/>
      <c r="U119" s="472"/>
      <c r="V119" s="474"/>
    </row>
    <row r="120" spans="1:22" outlineLevel="3">
      <c r="A120" s="342" t="s">
        <v>245</v>
      </c>
      <c r="B120" s="353" t="s">
        <v>246</v>
      </c>
      <c r="C120" s="547">
        <v>0</v>
      </c>
      <c r="D120" s="547">
        <v>0</v>
      </c>
      <c r="E120" s="528">
        <v>0</v>
      </c>
      <c r="F120" s="604"/>
      <c r="G120" s="534"/>
      <c r="H120" s="547">
        <v>4</v>
      </c>
      <c r="I120" s="664">
        <f>D120</f>
        <v>0</v>
      </c>
      <c r="J120" s="541">
        <f>+I120/H120</f>
        <v>0</v>
      </c>
      <c r="K120" s="637">
        <v>0</v>
      </c>
      <c r="L120" s="637">
        <v>0.7</v>
      </c>
      <c r="M120" s="685"/>
      <c r="N120" s="685"/>
      <c r="O120" s="677"/>
      <c r="P120" s="348"/>
      <c r="Q120" s="685"/>
      <c r="R120" s="677"/>
      <c r="S120" s="349"/>
      <c r="T120" s="473"/>
      <c r="U120" s="472"/>
      <c r="V120" s="474"/>
    </row>
    <row r="121" spans="1:22" outlineLevel="2">
      <c r="A121" s="511" t="s">
        <v>247</v>
      </c>
      <c r="B121" s="514"/>
      <c r="C121" s="554"/>
      <c r="D121" s="554"/>
      <c r="E121" s="646">
        <f>+E123*$K$123</f>
        <v>0</v>
      </c>
      <c r="F121" s="620"/>
      <c r="G121" s="646"/>
      <c r="H121" s="554"/>
      <c r="I121" s="665"/>
      <c r="J121" s="646">
        <f>+J123*$L$123</f>
        <v>0</v>
      </c>
      <c r="K121" s="638">
        <v>0</v>
      </c>
      <c r="L121" s="638">
        <v>0.4</v>
      </c>
      <c r="M121" s="688">
        <f>+SUM(M122:M123)</f>
        <v>0</v>
      </c>
      <c r="N121" s="688">
        <f>+SUM(N122:N123)</f>
        <v>0</v>
      </c>
      <c r="O121" s="677"/>
      <c r="P121" s="688">
        <f>+SUM(P122:P123)</f>
        <v>2000000000</v>
      </c>
      <c r="Q121" s="688">
        <f>+SUM(Q122:Q123)</f>
        <v>0</v>
      </c>
      <c r="R121" s="673">
        <f>+Q121/P121</f>
        <v>0</v>
      </c>
      <c r="S121" s="349"/>
      <c r="T121" s="473"/>
      <c r="U121" s="472"/>
      <c r="V121" s="474"/>
    </row>
    <row r="122" spans="1:22" ht="25.5" outlineLevel="3">
      <c r="A122" s="342" t="s">
        <v>248</v>
      </c>
      <c r="B122" s="353"/>
      <c r="C122" s="547"/>
      <c r="D122" s="547"/>
      <c r="E122" s="547"/>
      <c r="F122" s="604"/>
      <c r="G122" s="534"/>
      <c r="H122" s="547"/>
      <c r="I122" s="664"/>
      <c r="J122" s="541"/>
      <c r="K122" s="637"/>
      <c r="L122" s="637"/>
      <c r="M122" s="685">
        <v>0</v>
      </c>
      <c r="N122" s="685">
        <v>0</v>
      </c>
      <c r="O122" s="677"/>
      <c r="P122" s="348">
        <v>2000000000</v>
      </c>
      <c r="Q122" s="685">
        <v>0</v>
      </c>
      <c r="R122" s="673">
        <f>+Q122/P122</f>
        <v>0</v>
      </c>
      <c r="S122" s="349"/>
      <c r="T122" s="473"/>
      <c r="U122" s="472"/>
      <c r="V122" s="474"/>
    </row>
    <row r="123" spans="1:22" outlineLevel="3">
      <c r="A123" s="342" t="s">
        <v>249</v>
      </c>
      <c r="B123" s="353" t="s">
        <v>243</v>
      </c>
      <c r="C123" s="547">
        <v>0</v>
      </c>
      <c r="D123" s="547">
        <v>0</v>
      </c>
      <c r="E123" s="528">
        <v>0</v>
      </c>
      <c r="F123" s="604"/>
      <c r="G123" s="534"/>
      <c r="H123" s="547">
        <v>3</v>
      </c>
      <c r="I123" s="664">
        <f>D123</f>
        <v>0</v>
      </c>
      <c r="J123" s="541">
        <f>+I123/H123</f>
        <v>0</v>
      </c>
      <c r="K123" s="637">
        <v>0</v>
      </c>
      <c r="L123" s="637">
        <v>1</v>
      </c>
      <c r="M123" s="685"/>
      <c r="N123" s="685"/>
      <c r="O123" s="677"/>
      <c r="P123" s="348"/>
      <c r="Q123" s="685"/>
      <c r="R123" s="677"/>
      <c r="S123" s="349"/>
      <c r="T123" s="473"/>
      <c r="U123" s="472"/>
      <c r="V123" s="474"/>
    </row>
    <row r="124" spans="1:22" outlineLevel="2">
      <c r="A124" s="511" t="s">
        <v>250</v>
      </c>
      <c r="B124" s="514"/>
      <c r="C124" s="554"/>
      <c r="D124" s="554"/>
      <c r="E124" s="555">
        <f>E126*$K$126+E128*$K$128</f>
        <v>0.8</v>
      </c>
      <c r="F124" s="620"/>
      <c r="G124" s="555"/>
      <c r="H124" s="554"/>
      <c r="I124" s="665"/>
      <c r="J124" s="555">
        <f>J126*$L$126+J128*$L$128</f>
        <v>0.4</v>
      </c>
      <c r="K124" s="638">
        <v>1</v>
      </c>
      <c r="L124" s="638">
        <v>0.3</v>
      </c>
      <c r="M124" s="688">
        <f>+SUM(M125:M128)</f>
        <v>946153088.75999999</v>
      </c>
      <c r="N124" s="688">
        <f>+SUM(N125:N128)</f>
        <v>837503911</v>
      </c>
      <c r="O124" s="673">
        <f>+N124/M124</f>
        <v>0.88516744377763179</v>
      </c>
      <c r="P124" s="688">
        <f>+SUM(P125:P128)</f>
        <v>1400000000</v>
      </c>
      <c r="Q124" s="688">
        <f>+SUM(Q125:Q128)</f>
        <v>837503911</v>
      </c>
      <c r="R124" s="673">
        <f>+Q124/P124</f>
        <v>0.59821707928571433</v>
      </c>
      <c r="S124" s="349"/>
      <c r="T124" s="473"/>
      <c r="U124" s="472"/>
      <c r="V124" s="474"/>
    </row>
    <row r="125" spans="1:22" ht="51" outlineLevel="3">
      <c r="A125" s="342" t="s">
        <v>251</v>
      </c>
      <c r="B125" s="353"/>
      <c r="C125" s="547"/>
      <c r="D125" s="547"/>
      <c r="E125" s="547"/>
      <c r="F125" s="604"/>
      <c r="G125" s="534"/>
      <c r="H125" s="547"/>
      <c r="I125" s="664"/>
      <c r="J125" s="541"/>
      <c r="K125" s="637"/>
      <c r="L125" s="637"/>
      <c r="M125" s="685">
        <f>450000000+396153088.76</f>
        <v>846153088.75999999</v>
      </c>
      <c r="N125" s="685">
        <f>450000000+387503911</f>
        <v>837503911</v>
      </c>
      <c r="O125" s="673">
        <f>+N125/M125</f>
        <v>0.98977823531593445</v>
      </c>
      <c r="P125" s="348">
        <v>1000000000</v>
      </c>
      <c r="Q125" s="685">
        <f>450000000+387503911</f>
        <v>837503911</v>
      </c>
      <c r="R125" s="673">
        <f>+Q125/P125</f>
        <v>0.83750391099999999</v>
      </c>
      <c r="S125" s="349"/>
      <c r="T125" s="473"/>
      <c r="U125" s="472"/>
      <c r="V125" s="474"/>
    </row>
    <row r="126" spans="1:22" ht="120.75" customHeight="1" outlineLevel="3">
      <c r="A126" s="342" t="s">
        <v>252</v>
      </c>
      <c r="B126" s="353" t="s">
        <v>253</v>
      </c>
      <c r="C126" s="547">
        <v>2</v>
      </c>
      <c r="D126" s="547">
        <v>2</v>
      </c>
      <c r="E126" s="530">
        <f>+D126/C126</f>
        <v>1</v>
      </c>
      <c r="F126" s="604" t="s">
        <v>254</v>
      </c>
      <c r="G126" s="534"/>
      <c r="H126" s="547">
        <v>4</v>
      </c>
      <c r="I126" s="664">
        <f>D126</f>
        <v>2</v>
      </c>
      <c r="J126" s="541">
        <f>+I126/H126</f>
        <v>0.5</v>
      </c>
      <c r="K126" s="637">
        <v>0.8</v>
      </c>
      <c r="L126" s="637">
        <v>0.8</v>
      </c>
      <c r="M126" s="685"/>
      <c r="N126" s="685"/>
      <c r="O126" s="677"/>
      <c r="P126" s="348"/>
      <c r="Q126" s="685"/>
      <c r="R126" s="677"/>
      <c r="S126" s="349"/>
      <c r="T126" s="473"/>
      <c r="U126" s="472"/>
      <c r="V126" s="474"/>
    </row>
    <row r="127" spans="1:22" outlineLevel="3">
      <c r="A127" s="342" t="s">
        <v>255</v>
      </c>
      <c r="B127" s="353"/>
      <c r="C127" s="547"/>
      <c r="D127" s="547"/>
      <c r="E127" s="547"/>
      <c r="F127" s="604"/>
      <c r="G127" s="534"/>
      <c r="H127" s="547"/>
      <c r="I127" s="664"/>
      <c r="J127" s="541"/>
      <c r="K127" s="637"/>
      <c r="L127" s="637"/>
      <c r="M127" s="685">
        <v>100000000</v>
      </c>
      <c r="N127" s="685">
        <v>0</v>
      </c>
      <c r="O127" s="673">
        <f>+N127/M127</f>
        <v>0</v>
      </c>
      <c r="P127" s="348">
        <v>400000000</v>
      </c>
      <c r="Q127" s="685">
        <v>0</v>
      </c>
      <c r="R127" s="673">
        <f>+Q127/P127</f>
        <v>0</v>
      </c>
      <c r="S127" s="349"/>
      <c r="T127" s="473"/>
      <c r="U127" s="472"/>
      <c r="V127" s="474"/>
    </row>
    <row r="128" spans="1:22" ht="26.25" outlineLevel="3" thickBot="1">
      <c r="A128" s="488" t="s">
        <v>256</v>
      </c>
      <c r="B128" s="353" t="s">
        <v>257</v>
      </c>
      <c r="C128" s="547">
        <v>1</v>
      </c>
      <c r="D128" s="547">
        <v>0</v>
      </c>
      <c r="E128" s="530">
        <f>+D128/C128</f>
        <v>0</v>
      </c>
      <c r="F128" s="604" t="s">
        <v>258</v>
      </c>
      <c r="G128" s="534"/>
      <c r="H128" s="547">
        <v>4</v>
      </c>
      <c r="I128" s="664">
        <f>D128</f>
        <v>0</v>
      </c>
      <c r="J128" s="541">
        <f>+I128/H128</f>
        <v>0</v>
      </c>
      <c r="K128" s="637">
        <v>0.2</v>
      </c>
      <c r="L128" s="637">
        <v>0.2</v>
      </c>
      <c r="M128" s="685"/>
      <c r="N128" s="685"/>
      <c r="O128" s="677"/>
      <c r="P128" s="348"/>
      <c r="Q128" s="685"/>
      <c r="R128" s="677"/>
      <c r="S128" s="349"/>
      <c r="T128" s="484"/>
      <c r="U128" s="485"/>
      <c r="V128" s="486"/>
    </row>
    <row r="129" spans="1:22" ht="13.5" outlineLevel="1" thickBot="1">
      <c r="A129" s="504" t="s">
        <v>259</v>
      </c>
      <c r="B129" s="510"/>
      <c r="C129" s="548"/>
      <c r="D129" s="548"/>
      <c r="E129" s="549">
        <f>+E130*$K$130+E153*$K$153+E162*$K$162</f>
        <v>0.3</v>
      </c>
      <c r="F129" s="617"/>
      <c r="G129" s="549"/>
      <c r="H129" s="548"/>
      <c r="I129" s="666"/>
      <c r="J129" s="549">
        <f>+J130*$L$130+J153*$L$153+J162*$L$162</f>
        <v>2.5000000000000001E-2</v>
      </c>
      <c r="K129" s="635">
        <v>0.4</v>
      </c>
      <c r="L129" s="635">
        <v>0.4</v>
      </c>
      <c r="M129" s="687">
        <f>+SUM(M130,M153,M162)</f>
        <v>1067160427</v>
      </c>
      <c r="N129" s="687">
        <f>+SUM(N130,N153,N162)</f>
        <v>213135000</v>
      </c>
      <c r="O129" s="536">
        <f>+N129/M129</f>
        <v>0.19972161130371452</v>
      </c>
      <c r="P129" s="687">
        <f>+SUM(P130,P153,P162)</f>
        <v>11367160427</v>
      </c>
      <c r="Q129" s="687">
        <f>+SUM(Q130,Q153,Q162)</f>
        <v>213135000</v>
      </c>
      <c r="R129" s="536">
        <f>+Q129/P129</f>
        <v>1.875006527520701E-2</v>
      </c>
      <c r="S129" s="505"/>
      <c r="T129" s="507"/>
      <c r="U129" s="508"/>
      <c r="V129" s="509"/>
    </row>
    <row r="130" spans="1:22" outlineLevel="2">
      <c r="A130" s="512" t="s">
        <v>260</v>
      </c>
      <c r="B130" s="513"/>
      <c r="C130" s="550"/>
      <c r="D130" s="550"/>
      <c r="E130" s="551">
        <f>+E132*$K$132+E134*$K$134+E136*$K$136+E138*$K$138+E140*$K$140+E142*$K$142+E144*$K$144+E146*$K$146+E148*$K$148+E150*$K$150+E152*$K$152</f>
        <v>0</v>
      </c>
      <c r="F130" s="618"/>
      <c r="G130" s="551"/>
      <c r="H130" s="550"/>
      <c r="I130" s="667"/>
      <c r="J130" s="551">
        <f>+J132*$L$132+J134*$L$134+J136*$L$136+J138*$L$138+J140*$L$140+J142*$L$142+J144*$L$144+J146*$L$146+J148*$L$148+J150*$L$150+J152*$L$152</f>
        <v>0</v>
      </c>
      <c r="K130" s="636">
        <v>0.7</v>
      </c>
      <c r="L130" s="636">
        <v>0.7</v>
      </c>
      <c r="M130" s="688">
        <f>+SUM(M131:M152)</f>
        <v>967160427</v>
      </c>
      <c r="N130" s="688">
        <f>+SUM(N131:N152)</f>
        <v>124485000</v>
      </c>
      <c r="O130" s="673">
        <f>+N130/M130</f>
        <v>0.12871184192899157</v>
      </c>
      <c r="P130" s="688">
        <f>+SUM(P131:P152)</f>
        <v>9407160427</v>
      </c>
      <c r="Q130" s="688">
        <f>+SUM(Q131:Q152)</f>
        <v>124485000</v>
      </c>
      <c r="R130" s="673">
        <f>+Q130/P130</f>
        <v>1.3233004897281103E-2</v>
      </c>
      <c r="S130" s="487"/>
      <c r="T130" s="475"/>
      <c r="U130" s="476"/>
      <c r="V130" s="477"/>
    </row>
    <row r="131" spans="1:22" ht="25.5" outlineLevel="3">
      <c r="A131" s="342" t="s">
        <v>261</v>
      </c>
      <c r="B131" s="353"/>
      <c r="C131" s="547"/>
      <c r="D131" s="547"/>
      <c r="E131" s="547"/>
      <c r="F131" s="604"/>
      <c r="G131" s="534"/>
      <c r="H131" s="547"/>
      <c r="I131" s="664"/>
      <c r="J131" s="541"/>
      <c r="K131" s="637"/>
      <c r="L131" s="637"/>
      <c r="M131" s="685">
        <v>320000000</v>
      </c>
      <c r="N131" s="685">
        <v>80985000</v>
      </c>
      <c r="O131" s="673">
        <f>+N131/M131</f>
        <v>0.25307812499999999</v>
      </c>
      <c r="P131" s="348">
        <v>960000000</v>
      </c>
      <c r="Q131" s="685">
        <v>80985000</v>
      </c>
      <c r="R131" s="673">
        <f>+Q131/P131</f>
        <v>8.4359375E-2</v>
      </c>
      <c r="S131" s="349"/>
      <c r="T131" s="473"/>
      <c r="U131" s="472"/>
      <c r="V131" s="474"/>
    </row>
    <row r="132" spans="1:22" ht="78" customHeight="1" outlineLevel="3">
      <c r="A132" s="342" t="s">
        <v>262</v>
      </c>
      <c r="B132" s="353" t="s">
        <v>103</v>
      </c>
      <c r="C132" s="547">
        <v>1</v>
      </c>
      <c r="D132" s="547">
        <v>0</v>
      </c>
      <c r="E132" s="530">
        <f>+D132/C132</f>
        <v>0</v>
      </c>
      <c r="F132" s="604" t="s">
        <v>263</v>
      </c>
      <c r="G132" s="534"/>
      <c r="H132" s="547">
        <v>3</v>
      </c>
      <c r="I132" s="664">
        <f>D132</f>
        <v>0</v>
      </c>
      <c r="J132" s="541">
        <f>+I132/H132</f>
        <v>0</v>
      </c>
      <c r="K132" s="637">
        <v>0.39</v>
      </c>
      <c r="L132" s="637">
        <v>0.1</v>
      </c>
      <c r="M132" s="685"/>
      <c r="N132" s="685"/>
      <c r="O132" s="677"/>
      <c r="P132" s="348"/>
      <c r="Q132" s="685"/>
      <c r="R132" s="677"/>
      <c r="S132" s="349"/>
      <c r="T132" s="473"/>
      <c r="U132" s="472"/>
      <c r="V132" s="474"/>
    </row>
    <row r="133" spans="1:22" ht="25.5" outlineLevel="3">
      <c r="A133" s="342" t="s">
        <v>264</v>
      </c>
      <c r="B133" s="353"/>
      <c r="C133" s="547"/>
      <c r="D133" s="547"/>
      <c r="E133" s="547"/>
      <c r="F133" s="604"/>
      <c r="G133" s="534"/>
      <c r="H133" s="547"/>
      <c r="I133" s="664"/>
      <c r="J133" s="541"/>
      <c r="K133" s="637"/>
      <c r="L133" s="637"/>
      <c r="M133" s="685">
        <v>0</v>
      </c>
      <c r="N133" s="685">
        <v>0</v>
      </c>
      <c r="O133" s="677"/>
      <c r="P133" s="348">
        <v>1200000000</v>
      </c>
      <c r="Q133" s="685">
        <v>0</v>
      </c>
      <c r="R133" s="673">
        <f>+Q133/P133</f>
        <v>0</v>
      </c>
      <c r="S133" s="349"/>
      <c r="T133" s="473"/>
      <c r="U133" s="472"/>
      <c r="V133" s="474"/>
    </row>
    <row r="134" spans="1:22" outlineLevel="3">
      <c r="A134" s="342" t="s">
        <v>265</v>
      </c>
      <c r="B134" s="353" t="s">
        <v>243</v>
      </c>
      <c r="C134" s="547">
        <v>0</v>
      </c>
      <c r="D134" s="547">
        <v>0</v>
      </c>
      <c r="E134" s="528">
        <v>0</v>
      </c>
      <c r="F134" s="604"/>
      <c r="G134" s="534"/>
      <c r="H134" s="547">
        <v>3</v>
      </c>
      <c r="I134" s="664">
        <f>D134</f>
        <v>0</v>
      </c>
      <c r="J134" s="541">
        <f>+I134/H134</f>
        <v>0</v>
      </c>
      <c r="K134" s="637">
        <v>0</v>
      </c>
      <c r="L134" s="637">
        <v>0.13</v>
      </c>
      <c r="M134" s="685"/>
      <c r="N134" s="685"/>
      <c r="O134" s="677"/>
      <c r="P134" s="348"/>
      <c r="Q134" s="685"/>
      <c r="R134" s="677"/>
      <c r="S134" s="349"/>
      <c r="T134" s="473"/>
      <c r="U134" s="472"/>
      <c r="V134" s="474"/>
    </row>
    <row r="135" spans="1:22" ht="25.5" outlineLevel="3">
      <c r="A135" s="342" t="s">
        <v>266</v>
      </c>
      <c r="B135" s="353"/>
      <c r="C135" s="547"/>
      <c r="D135" s="547"/>
      <c r="E135" s="547"/>
      <c r="F135" s="604"/>
      <c r="G135" s="534"/>
      <c r="H135" s="547"/>
      <c r="I135" s="664"/>
      <c r="J135" s="541"/>
      <c r="K135" s="637"/>
      <c r="L135" s="637"/>
      <c r="M135" s="685">
        <v>47160427</v>
      </c>
      <c r="N135" s="685">
        <v>43500000</v>
      </c>
      <c r="O135" s="673">
        <f>+N135/M135</f>
        <v>0.92238350598479524</v>
      </c>
      <c r="P135" s="348">
        <f>1000000000+47160427</f>
        <v>1047160427</v>
      </c>
      <c r="Q135" s="685">
        <v>43500000</v>
      </c>
      <c r="R135" s="673">
        <f>+Q135/P135</f>
        <v>4.154091281373451E-2</v>
      </c>
      <c r="S135" s="349"/>
      <c r="T135" s="473"/>
      <c r="U135" s="472"/>
      <c r="V135" s="474"/>
    </row>
    <row r="136" spans="1:22" outlineLevel="3">
      <c r="A136" s="342" t="s">
        <v>267</v>
      </c>
      <c r="B136" s="353" t="s">
        <v>212</v>
      </c>
      <c r="C136" s="547">
        <v>0</v>
      </c>
      <c r="D136" s="547">
        <v>0</v>
      </c>
      <c r="E136" s="528">
        <v>0</v>
      </c>
      <c r="F136" s="604"/>
      <c r="G136" s="534"/>
      <c r="H136" s="547">
        <v>200</v>
      </c>
      <c r="I136" s="664">
        <f>D136</f>
        <v>0</v>
      </c>
      <c r="J136" s="541">
        <f>+I136/H136</f>
        <v>0</v>
      </c>
      <c r="K136" s="637">
        <v>0</v>
      </c>
      <c r="L136" s="637">
        <v>0.1</v>
      </c>
      <c r="M136" s="685"/>
      <c r="N136" s="685"/>
      <c r="O136" s="677"/>
      <c r="P136" s="348"/>
      <c r="Q136" s="685"/>
      <c r="R136" s="677"/>
      <c r="S136" s="349"/>
      <c r="T136" s="473"/>
      <c r="U136" s="472"/>
      <c r="V136" s="474"/>
    </row>
    <row r="137" spans="1:22" outlineLevel="3">
      <c r="A137" s="342" t="s">
        <v>268</v>
      </c>
      <c r="B137" s="353"/>
      <c r="C137" s="547"/>
      <c r="D137" s="547"/>
      <c r="E137" s="547"/>
      <c r="F137" s="604"/>
      <c r="G137" s="534"/>
      <c r="H137" s="547"/>
      <c r="I137" s="664"/>
      <c r="J137" s="541"/>
      <c r="K137" s="637"/>
      <c r="L137" s="637"/>
      <c r="M137" s="685">
        <v>0</v>
      </c>
      <c r="N137" s="685">
        <v>0</v>
      </c>
      <c r="O137" s="677"/>
      <c r="P137" s="348">
        <v>1700000000</v>
      </c>
      <c r="Q137" s="685">
        <v>0</v>
      </c>
      <c r="R137" s="673">
        <f>+Q137/P137</f>
        <v>0</v>
      </c>
      <c r="S137" s="349"/>
      <c r="T137" s="473"/>
      <c r="U137" s="472"/>
      <c r="V137" s="474"/>
    </row>
    <row r="138" spans="1:22" outlineLevel="3">
      <c r="A138" s="342" t="s">
        <v>269</v>
      </c>
      <c r="B138" s="353" t="s">
        <v>212</v>
      </c>
      <c r="C138" s="547">
        <v>0</v>
      </c>
      <c r="D138" s="547">
        <v>0</v>
      </c>
      <c r="E138" s="528">
        <v>0</v>
      </c>
      <c r="F138" s="604"/>
      <c r="G138" s="534"/>
      <c r="H138" s="547">
        <v>100</v>
      </c>
      <c r="I138" s="664">
        <f>D138</f>
        <v>0</v>
      </c>
      <c r="J138" s="541">
        <f>+I138/H138</f>
        <v>0</v>
      </c>
      <c r="K138" s="637">
        <v>0</v>
      </c>
      <c r="L138" s="637">
        <v>0.18</v>
      </c>
      <c r="M138" s="685"/>
      <c r="N138" s="685"/>
      <c r="O138" s="677"/>
      <c r="P138" s="348"/>
      <c r="Q138" s="685"/>
      <c r="R138" s="677"/>
      <c r="S138" s="349"/>
      <c r="T138" s="473"/>
      <c r="U138" s="472"/>
      <c r="V138" s="474"/>
    </row>
    <row r="139" spans="1:22" outlineLevel="3">
      <c r="A139" s="342" t="s">
        <v>270</v>
      </c>
      <c r="B139" s="353"/>
      <c r="C139" s="547"/>
      <c r="D139" s="547"/>
      <c r="E139" s="547"/>
      <c r="F139" s="604"/>
      <c r="G139" s="534"/>
      <c r="H139" s="547"/>
      <c r="I139" s="664"/>
      <c r="J139" s="541"/>
      <c r="K139" s="637"/>
      <c r="L139" s="637"/>
      <c r="M139" s="685">
        <v>0</v>
      </c>
      <c r="N139" s="685">
        <v>0</v>
      </c>
      <c r="O139" s="677"/>
      <c r="P139" s="348">
        <v>800000000</v>
      </c>
      <c r="Q139" s="685">
        <v>0</v>
      </c>
      <c r="R139" s="673">
        <f>+Q139/P139</f>
        <v>0</v>
      </c>
      <c r="S139" s="349"/>
      <c r="T139" s="473"/>
      <c r="U139" s="472"/>
      <c r="V139" s="474"/>
    </row>
    <row r="140" spans="1:22" outlineLevel="3">
      <c r="A140" s="342" t="s">
        <v>271</v>
      </c>
      <c r="B140" s="353" t="s">
        <v>212</v>
      </c>
      <c r="C140" s="547">
        <v>0</v>
      </c>
      <c r="D140" s="547">
        <v>0</v>
      </c>
      <c r="E140" s="528">
        <v>0</v>
      </c>
      <c r="F140" s="604"/>
      <c r="G140" s="534"/>
      <c r="H140" s="547">
        <v>1500</v>
      </c>
      <c r="I140" s="664">
        <f>D140</f>
        <v>0</v>
      </c>
      <c r="J140" s="541">
        <f>+I140/H140</f>
        <v>0</v>
      </c>
      <c r="K140" s="637">
        <v>0</v>
      </c>
      <c r="L140" s="637">
        <v>0.1</v>
      </c>
      <c r="M140" s="685"/>
      <c r="N140" s="685"/>
      <c r="O140" s="677"/>
      <c r="P140" s="348"/>
      <c r="Q140" s="685"/>
      <c r="R140" s="677"/>
      <c r="S140" s="349"/>
      <c r="T140" s="473"/>
      <c r="U140" s="472"/>
      <c r="V140" s="474"/>
    </row>
    <row r="141" spans="1:22" ht="36.75" customHeight="1" outlineLevel="3">
      <c r="A141" s="342" t="s">
        <v>272</v>
      </c>
      <c r="B141" s="353"/>
      <c r="C141" s="547"/>
      <c r="D141" s="547"/>
      <c r="E141" s="547"/>
      <c r="F141" s="604"/>
      <c r="G141" s="534"/>
      <c r="H141" s="547"/>
      <c r="I141" s="664"/>
      <c r="J141" s="541"/>
      <c r="K141" s="637"/>
      <c r="L141" s="637"/>
      <c r="M141" s="685">
        <v>0</v>
      </c>
      <c r="N141" s="685">
        <v>0</v>
      </c>
      <c r="O141" s="677"/>
      <c r="P141" s="348">
        <v>800000000</v>
      </c>
      <c r="Q141" s="685">
        <v>0</v>
      </c>
      <c r="R141" s="673">
        <f>+Q141/P141</f>
        <v>0</v>
      </c>
      <c r="S141" s="349"/>
      <c r="T141" s="473"/>
      <c r="U141" s="472"/>
      <c r="V141" s="474"/>
    </row>
    <row r="142" spans="1:22" outlineLevel="3">
      <c r="A142" s="342" t="s">
        <v>273</v>
      </c>
      <c r="B142" s="353" t="s">
        <v>156</v>
      </c>
      <c r="C142" s="547">
        <v>0</v>
      </c>
      <c r="D142" s="547">
        <v>0</v>
      </c>
      <c r="E142" s="528">
        <v>0</v>
      </c>
      <c r="F142" s="604"/>
      <c r="G142" s="534"/>
      <c r="H142" s="547">
        <v>4</v>
      </c>
      <c r="I142" s="664">
        <f>D142</f>
        <v>0</v>
      </c>
      <c r="J142" s="541">
        <f>+I142/H142</f>
        <v>0</v>
      </c>
      <c r="K142" s="637">
        <v>0</v>
      </c>
      <c r="L142" s="637">
        <v>0.08</v>
      </c>
      <c r="M142" s="685"/>
      <c r="N142" s="685"/>
      <c r="O142" s="677"/>
      <c r="P142" s="348"/>
      <c r="Q142" s="685"/>
      <c r="R142" s="677"/>
      <c r="S142" s="349"/>
      <c r="T142" s="473"/>
      <c r="U142" s="472"/>
      <c r="V142" s="474"/>
    </row>
    <row r="143" spans="1:22" ht="42.75" customHeight="1" outlineLevel="3">
      <c r="A143" s="342" t="s">
        <v>274</v>
      </c>
      <c r="B143" s="353"/>
      <c r="C143" s="547"/>
      <c r="D143" s="547"/>
      <c r="E143" s="547"/>
      <c r="F143" s="604"/>
      <c r="G143" s="534"/>
      <c r="H143" s="547"/>
      <c r="I143" s="664"/>
      <c r="J143" s="541"/>
      <c r="K143" s="637"/>
      <c r="L143" s="637"/>
      <c r="M143" s="685">
        <v>350000000</v>
      </c>
      <c r="N143" s="685">
        <v>0</v>
      </c>
      <c r="O143" s="673">
        <f>+N143/M143</f>
        <v>0</v>
      </c>
      <c r="P143" s="348">
        <v>800000000</v>
      </c>
      <c r="Q143" s="685">
        <v>0</v>
      </c>
      <c r="R143" s="673">
        <f>+Q143/P143</f>
        <v>0</v>
      </c>
      <c r="S143" s="349"/>
      <c r="T143" s="473"/>
      <c r="U143" s="472"/>
      <c r="V143" s="474"/>
    </row>
    <row r="144" spans="1:22" ht="60" customHeight="1" outlineLevel="3">
      <c r="A144" s="342" t="s">
        <v>275</v>
      </c>
      <c r="B144" s="353" t="s">
        <v>276</v>
      </c>
      <c r="C144" s="547">
        <v>2</v>
      </c>
      <c r="D144" s="547">
        <v>0</v>
      </c>
      <c r="E144" s="530">
        <f>+D144/C144</f>
        <v>0</v>
      </c>
      <c r="F144" s="604" t="s">
        <v>277</v>
      </c>
      <c r="G144" s="534"/>
      <c r="H144" s="547">
        <v>4</v>
      </c>
      <c r="I144" s="664">
        <f>D144</f>
        <v>0</v>
      </c>
      <c r="J144" s="541">
        <f>+I144/H144</f>
        <v>0</v>
      </c>
      <c r="K144" s="637">
        <v>0.32</v>
      </c>
      <c r="L144" s="637">
        <v>0.08</v>
      </c>
      <c r="M144" s="685"/>
      <c r="N144" s="685"/>
      <c r="O144" s="677"/>
      <c r="P144" s="348"/>
      <c r="Q144" s="685"/>
      <c r="R144" s="677"/>
      <c r="S144" s="349"/>
      <c r="T144" s="473"/>
      <c r="U144" s="472"/>
      <c r="V144" s="474"/>
    </row>
    <row r="145" spans="1:22" ht="38.25" outlineLevel="3">
      <c r="A145" s="342" t="s">
        <v>278</v>
      </c>
      <c r="B145" s="353"/>
      <c r="C145" s="547"/>
      <c r="D145" s="547"/>
      <c r="E145" s="547"/>
      <c r="F145" s="604"/>
      <c r="G145" s="534"/>
      <c r="H145" s="547"/>
      <c r="I145" s="664"/>
      <c r="J145" s="541"/>
      <c r="K145" s="637"/>
      <c r="L145" s="637"/>
      <c r="M145" s="685">
        <v>0</v>
      </c>
      <c r="N145" s="685">
        <v>0</v>
      </c>
      <c r="O145" s="677"/>
      <c r="P145" s="348">
        <v>800000000</v>
      </c>
      <c r="Q145" s="685">
        <v>0</v>
      </c>
      <c r="R145" s="673">
        <f>+Q145/P145</f>
        <v>0</v>
      </c>
      <c r="S145" s="349"/>
      <c r="T145" s="473"/>
      <c r="U145" s="472"/>
      <c r="V145" s="474"/>
    </row>
    <row r="146" spans="1:22" outlineLevel="3">
      <c r="A146" s="342" t="s">
        <v>279</v>
      </c>
      <c r="B146" s="353" t="s">
        <v>280</v>
      </c>
      <c r="C146" s="547">
        <v>0</v>
      </c>
      <c r="D146" s="547">
        <v>0</v>
      </c>
      <c r="E146" s="528">
        <v>0</v>
      </c>
      <c r="F146" s="604"/>
      <c r="G146" s="534"/>
      <c r="H146" s="547">
        <v>4</v>
      </c>
      <c r="I146" s="664">
        <f>D146</f>
        <v>0</v>
      </c>
      <c r="J146" s="541">
        <f>+I146/H146</f>
        <v>0</v>
      </c>
      <c r="K146" s="637">
        <v>0</v>
      </c>
      <c r="L146" s="637">
        <v>0.08</v>
      </c>
      <c r="M146" s="685"/>
      <c r="N146" s="685"/>
      <c r="O146" s="677"/>
      <c r="P146" s="348"/>
      <c r="Q146" s="685"/>
      <c r="R146" s="677"/>
      <c r="S146" s="349"/>
      <c r="T146" s="473"/>
      <c r="U146" s="472"/>
      <c r="V146" s="474"/>
    </row>
    <row r="147" spans="1:22" ht="38.25" outlineLevel="3">
      <c r="A147" s="342" t="s">
        <v>281</v>
      </c>
      <c r="B147" s="353"/>
      <c r="C147" s="547"/>
      <c r="D147" s="547"/>
      <c r="E147" s="547"/>
      <c r="F147" s="604"/>
      <c r="G147" s="534"/>
      <c r="H147" s="547"/>
      <c r="I147" s="664"/>
      <c r="J147" s="541"/>
      <c r="K147" s="637"/>
      <c r="L147" s="637"/>
      <c r="M147" s="685">
        <v>0</v>
      </c>
      <c r="N147" s="685">
        <v>0</v>
      </c>
      <c r="O147" s="677"/>
      <c r="P147" s="348">
        <v>400000000</v>
      </c>
      <c r="Q147" s="685">
        <v>0</v>
      </c>
      <c r="R147" s="673">
        <f>+Q147/P147</f>
        <v>0</v>
      </c>
      <c r="S147" s="349"/>
      <c r="T147" s="473"/>
      <c r="U147" s="472"/>
      <c r="V147" s="474"/>
    </row>
    <row r="148" spans="1:22" outlineLevel="3">
      <c r="A148" s="342" t="s">
        <v>282</v>
      </c>
      <c r="B148" s="353" t="s">
        <v>156</v>
      </c>
      <c r="C148" s="547">
        <v>0</v>
      </c>
      <c r="D148" s="547">
        <v>0</v>
      </c>
      <c r="E148" s="528">
        <v>0</v>
      </c>
      <c r="F148" s="604"/>
      <c r="G148" s="534"/>
      <c r="H148" s="547">
        <v>2</v>
      </c>
      <c r="I148" s="664">
        <f>D148</f>
        <v>0</v>
      </c>
      <c r="J148" s="541">
        <f>+I148/H148</f>
        <v>0</v>
      </c>
      <c r="K148" s="637">
        <v>0</v>
      </c>
      <c r="L148" s="637">
        <v>0.05</v>
      </c>
      <c r="M148" s="685"/>
      <c r="N148" s="685"/>
      <c r="O148" s="677"/>
      <c r="P148" s="348"/>
      <c r="Q148" s="685"/>
      <c r="R148" s="677"/>
      <c r="S148" s="349"/>
      <c r="T148" s="473"/>
      <c r="U148" s="472"/>
      <c r="V148" s="474"/>
    </row>
    <row r="149" spans="1:22" ht="33.75" customHeight="1" outlineLevel="3">
      <c r="A149" s="342" t="s">
        <v>283</v>
      </c>
      <c r="B149" s="353"/>
      <c r="C149" s="547"/>
      <c r="D149" s="547"/>
      <c r="E149" s="547"/>
      <c r="F149" s="604"/>
      <c r="G149" s="534"/>
      <c r="H149" s="547"/>
      <c r="I149" s="664"/>
      <c r="J149" s="541"/>
      <c r="K149" s="637"/>
      <c r="L149" s="637"/>
      <c r="M149" s="685">
        <v>250000000</v>
      </c>
      <c r="N149" s="685">
        <v>0</v>
      </c>
      <c r="O149" s="673">
        <f>+N149/M149</f>
        <v>0</v>
      </c>
      <c r="P149" s="348">
        <v>500000000</v>
      </c>
      <c r="Q149" s="685">
        <v>0</v>
      </c>
      <c r="R149" s="673">
        <f>+Q149/P149</f>
        <v>0</v>
      </c>
      <c r="S149" s="349"/>
      <c r="T149" s="473"/>
      <c r="U149" s="472"/>
      <c r="V149" s="474"/>
    </row>
    <row r="150" spans="1:22" ht="38.25" outlineLevel="3">
      <c r="A150" s="342" t="s">
        <v>284</v>
      </c>
      <c r="B150" s="353" t="s">
        <v>285</v>
      </c>
      <c r="C150" s="547">
        <v>1</v>
      </c>
      <c r="D150" s="547">
        <v>0</v>
      </c>
      <c r="E150" s="530">
        <f>+D150/C150</f>
        <v>0</v>
      </c>
      <c r="F150" s="604" t="s">
        <v>286</v>
      </c>
      <c r="G150" s="534"/>
      <c r="H150" s="547">
        <v>2</v>
      </c>
      <c r="I150" s="664">
        <f>D150</f>
        <v>0</v>
      </c>
      <c r="J150" s="541">
        <f>+I150/H150</f>
        <v>0</v>
      </c>
      <c r="K150" s="637">
        <v>0.28999999999999998</v>
      </c>
      <c r="L150" s="637">
        <v>0.05</v>
      </c>
      <c r="M150" s="685"/>
      <c r="N150" s="685"/>
      <c r="O150" s="677"/>
      <c r="P150" s="348"/>
      <c r="Q150" s="685"/>
      <c r="R150" s="677"/>
      <c r="S150" s="349"/>
      <c r="T150" s="473"/>
      <c r="U150" s="472"/>
      <c r="V150" s="474"/>
    </row>
    <row r="151" spans="1:22" ht="25.5" outlineLevel="3">
      <c r="A151" s="342" t="s">
        <v>287</v>
      </c>
      <c r="B151" s="353"/>
      <c r="C151" s="547"/>
      <c r="D151" s="547"/>
      <c r="E151" s="547"/>
      <c r="F151" s="604"/>
      <c r="G151" s="534"/>
      <c r="H151" s="547"/>
      <c r="I151" s="664"/>
      <c r="J151" s="541"/>
      <c r="K151" s="637"/>
      <c r="L151" s="637"/>
      <c r="M151" s="685">
        <v>0</v>
      </c>
      <c r="N151" s="685">
        <v>0</v>
      </c>
      <c r="O151" s="677"/>
      <c r="P151" s="348">
        <v>400000000</v>
      </c>
      <c r="Q151" s="685">
        <v>0</v>
      </c>
      <c r="R151" s="673">
        <f>+Q151/P151</f>
        <v>0</v>
      </c>
      <c r="S151" s="349"/>
      <c r="T151" s="473"/>
      <c r="U151" s="472"/>
      <c r="V151" s="474"/>
    </row>
    <row r="152" spans="1:22" outlineLevel="3">
      <c r="A152" s="342" t="s">
        <v>288</v>
      </c>
      <c r="B152" s="353" t="s">
        <v>289</v>
      </c>
      <c r="C152" s="547">
        <v>0</v>
      </c>
      <c r="D152" s="547">
        <v>0</v>
      </c>
      <c r="E152" s="528">
        <v>0</v>
      </c>
      <c r="F152" s="604"/>
      <c r="G152" s="534"/>
      <c r="H152" s="547">
        <v>4</v>
      </c>
      <c r="I152" s="664">
        <f>D152</f>
        <v>0</v>
      </c>
      <c r="J152" s="541">
        <f>+I152/H152</f>
        <v>0</v>
      </c>
      <c r="K152" s="637">
        <v>0</v>
      </c>
      <c r="L152" s="637">
        <v>0.05</v>
      </c>
      <c r="M152" s="685"/>
      <c r="N152" s="685"/>
      <c r="O152" s="677"/>
      <c r="P152" s="348"/>
      <c r="Q152" s="685"/>
      <c r="R152" s="677"/>
      <c r="S152" s="349"/>
      <c r="T152" s="473"/>
      <c r="U152" s="472"/>
      <c r="V152" s="474"/>
    </row>
    <row r="153" spans="1:22" outlineLevel="2">
      <c r="A153" s="511" t="s">
        <v>290</v>
      </c>
      <c r="B153" s="514"/>
      <c r="C153" s="554"/>
      <c r="D153" s="554"/>
      <c r="E153" s="544">
        <f>+E155*$K$155+E157*$K$157+E159*$K$159+E161*$K$161</f>
        <v>0</v>
      </c>
      <c r="F153" s="647"/>
      <c r="G153" s="544"/>
      <c r="H153" s="555"/>
      <c r="I153" s="544"/>
      <c r="J153" s="544">
        <f>+J155*$L$155+J157*$L$157+J159*$L$159+J161*$L$161</f>
        <v>0</v>
      </c>
      <c r="K153" s="638">
        <v>0</v>
      </c>
      <c r="L153" s="638">
        <v>0.2</v>
      </c>
      <c r="M153" s="685">
        <f>+SUM(M154:M161)</f>
        <v>0</v>
      </c>
      <c r="N153" s="685">
        <f>+SUM(N154:N161)</f>
        <v>0</v>
      </c>
      <c r="O153" s="677"/>
      <c r="P153" s="685">
        <f>+SUM(P154:P161)</f>
        <v>1560000000</v>
      </c>
      <c r="Q153" s="685">
        <f>+SUM(Q154:Q161)</f>
        <v>0</v>
      </c>
      <c r="R153" s="673">
        <f t="shared" ref="R153:R154" si="0">+Q153/P153</f>
        <v>0</v>
      </c>
      <c r="S153" s="349"/>
      <c r="T153" s="473"/>
      <c r="U153" s="472"/>
      <c r="V153" s="474"/>
    </row>
    <row r="154" spans="1:22" outlineLevel="3">
      <c r="A154" s="342" t="s">
        <v>291</v>
      </c>
      <c r="B154" s="353"/>
      <c r="C154" s="547"/>
      <c r="D154" s="547"/>
      <c r="E154" s="547"/>
      <c r="F154" s="604"/>
      <c r="G154" s="534"/>
      <c r="H154" s="547"/>
      <c r="I154" s="664"/>
      <c r="J154" s="541"/>
      <c r="K154" s="637"/>
      <c r="L154" s="637"/>
      <c r="M154" s="685">
        <v>0</v>
      </c>
      <c r="N154" s="685">
        <v>0</v>
      </c>
      <c r="O154" s="677"/>
      <c r="P154" s="348">
        <v>150000000</v>
      </c>
      <c r="Q154" s="685">
        <v>0</v>
      </c>
      <c r="R154" s="673">
        <f t="shared" si="0"/>
        <v>0</v>
      </c>
      <c r="S154" s="349"/>
      <c r="T154" s="473"/>
      <c r="U154" s="472"/>
      <c r="V154" s="474"/>
    </row>
    <row r="155" spans="1:22" outlineLevel="3">
      <c r="A155" s="342" t="s">
        <v>292</v>
      </c>
      <c r="B155" s="353" t="s">
        <v>293</v>
      </c>
      <c r="C155" s="547">
        <v>0</v>
      </c>
      <c r="D155" s="547">
        <v>0</v>
      </c>
      <c r="E155" s="528">
        <v>0</v>
      </c>
      <c r="F155" s="604"/>
      <c r="G155" s="534"/>
      <c r="H155" s="547">
        <v>1</v>
      </c>
      <c r="I155" s="664">
        <f>D155</f>
        <v>0</v>
      </c>
      <c r="J155" s="541">
        <f>+I155/H155</f>
        <v>0</v>
      </c>
      <c r="K155" s="637">
        <v>0</v>
      </c>
      <c r="L155" s="637">
        <v>0.2</v>
      </c>
      <c r="M155" s="685"/>
      <c r="N155" s="685"/>
      <c r="O155" s="677"/>
      <c r="P155" s="348"/>
      <c r="Q155" s="685"/>
      <c r="R155" s="677"/>
      <c r="S155" s="349"/>
      <c r="T155" s="473"/>
      <c r="U155" s="472"/>
      <c r="V155" s="474"/>
    </row>
    <row r="156" spans="1:22" ht="25.5" outlineLevel="3">
      <c r="A156" s="342" t="s">
        <v>294</v>
      </c>
      <c r="B156" s="353"/>
      <c r="C156" s="547"/>
      <c r="D156" s="547"/>
      <c r="E156" s="547"/>
      <c r="F156" s="604"/>
      <c r="G156" s="534"/>
      <c r="H156" s="547"/>
      <c r="I156" s="664"/>
      <c r="J156" s="541"/>
      <c r="K156" s="637"/>
      <c r="L156" s="637"/>
      <c r="M156" s="685">
        <v>0</v>
      </c>
      <c r="N156" s="685">
        <v>0</v>
      </c>
      <c r="O156" s="677"/>
      <c r="P156" s="348">
        <v>610000000</v>
      </c>
      <c r="Q156" s="685">
        <v>0</v>
      </c>
      <c r="R156" s="673">
        <f>+Q156/P156</f>
        <v>0</v>
      </c>
      <c r="S156" s="349"/>
      <c r="T156" s="473"/>
      <c r="U156" s="472"/>
      <c r="V156" s="474"/>
    </row>
    <row r="157" spans="1:22" outlineLevel="3">
      <c r="A157" s="342" t="s">
        <v>295</v>
      </c>
      <c r="B157" s="353" t="s">
        <v>296</v>
      </c>
      <c r="C157" s="547">
        <v>0</v>
      </c>
      <c r="D157" s="547">
        <v>0</v>
      </c>
      <c r="E157" s="528">
        <v>0</v>
      </c>
      <c r="F157" s="604"/>
      <c r="G157" s="534"/>
      <c r="H157" s="547">
        <v>61</v>
      </c>
      <c r="I157" s="664">
        <f>D157</f>
        <v>0</v>
      </c>
      <c r="J157" s="541">
        <f>+I157/H157</f>
        <v>0</v>
      </c>
      <c r="K157" s="637">
        <v>0</v>
      </c>
      <c r="L157" s="637">
        <v>0.3</v>
      </c>
      <c r="M157" s="685"/>
      <c r="N157" s="685"/>
      <c r="O157" s="677"/>
      <c r="P157" s="348"/>
      <c r="Q157" s="685"/>
      <c r="R157" s="677"/>
      <c r="S157" s="349"/>
      <c r="T157" s="473"/>
      <c r="U157" s="472"/>
      <c r="V157" s="474"/>
    </row>
    <row r="158" spans="1:22" ht="25.5" outlineLevel="3">
      <c r="A158" s="342" t="s">
        <v>297</v>
      </c>
      <c r="B158" s="353"/>
      <c r="C158" s="547"/>
      <c r="D158" s="547"/>
      <c r="E158" s="547"/>
      <c r="F158" s="604"/>
      <c r="G158" s="534"/>
      <c r="H158" s="547"/>
      <c r="I158" s="664"/>
      <c r="J158" s="541"/>
      <c r="K158" s="637"/>
      <c r="L158" s="637"/>
      <c r="M158" s="685">
        <v>0</v>
      </c>
      <c r="N158" s="685">
        <v>0</v>
      </c>
      <c r="O158" s="677"/>
      <c r="P158" s="348">
        <v>500000000</v>
      </c>
      <c r="Q158" s="685">
        <v>0</v>
      </c>
      <c r="R158" s="673">
        <f>+Q158/P158</f>
        <v>0</v>
      </c>
      <c r="S158" s="349"/>
      <c r="T158" s="473"/>
      <c r="U158" s="472"/>
      <c r="V158" s="474"/>
    </row>
    <row r="159" spans="1:22" outlineLevel="3">
      <c r="A159" s="342" t="s">
        <v>298</v>
      </c>
      <c r="B159" s="353" t="s">
        <v>299</v>
      </c>
      <c r="C159" s="547">
        <v>0</v>
      </c>
      <c r="D159" s="547">
        <v>0</v>
      </c>
      <c r="E159" s="528">
        <v>0</v>
      </c>
      <c r="F159" s="604"/>
      <c r="G159" s="534"/>
      <c r="H159" s="547">
        <v>2</v>
      </c>
      <c r="I159" s="664">
        <f>D159</f>
        <v>0</v>
      </c>
      <c r="J159" s="541">
        <f>+I159/H159</f>
        <v>0</v>
      </c>
      <c r="K159" s="637">
        <v>0</v>
      </c>
      <c r="L159" s="637">
        <v>0.3</v>
      </c>
      <c r="M159" s="685"/>
      <c r="N159" s="685"/>
      <c r="O159" s="677"/>
      <c r="P159" s="348"/>
      <c r="Q159" s="685"/>
      <c r="R159" s="677"/>
      <c r="S159" s="349"/>
      <c r="T159" s="473"/>
      <c r="U159" s="472"/>
      <c r="V159" s="474"/>
    </row>
    <row r="160" spans="1:22" ht="38.25" outlineLevel="3">
      <c r="A160" s="342" t="s">
        <v>300</v>
      </c>
      <c r="B160" s="353"/>
      <c r="C160" s="547"/>
      <c r="D160" s="547"/>
      <c r="E160" s="547"/>
      <c r="F160" s="604"/>
      <c r="G160" s="534"/>
      <c r="H160" s="547"/>
      <c r="I160" s="664"/>
      <c r="J160" s="541"/>
      <c r="K160" s="637"/>
      <c r="L160" s="637"/>
      <c r="M160" s="685">
        <v>0</v>
      </c>
      <c r="N160" s="685">
        <v>0</v>
      </c>
      <c r="O160" s="677"/>
      <c r="P160" s="348">
        <v>300000000</v>
      </c>
      <c r="Q160" s="685">
        <v>0</v>
      </c>
      <c r="R160" s="673">
        <f>+Q160/P160</f>
        <v>0</v>
      </c>
      <c r="S160" s="349"/>
      <c r="T160" s="473"/>
      <c r="U160" s="472"/>
      <c r="V160" s="474"/>
    </row>
    <row r="161" spans="1:22" outlineLevel="3">
      <c r="A161" s="342" t="s">
        <v>301</v>
      </c>
      <c r="B161" s="353" t="s">
        <v>302</v>
      </c>
      <c r="C161" s="547">
        <v>0</v>
      </c>
      <c r="D161" s="547">
        <v>0</v>
      </c>
      <c r="E161" s="528">
        <v>0</v>
      </c>
      <c r="F161" s="604"/>
      <c r="G161" s="534"/>
      <c r="H161" s="547">
        <v>2</v>
      </c>
      <c r="I161" s="664">
        <f>D161</f>
        <v>0</v>
      </c>
      <c r="J161" s="541">
        <f>+I161/H161</f>
        <v>0</v>
      </c>
      <c r="K161" s="637">
        <v>0</v>
      </c>
      <c r="L161" s="637">
        <v>0.2</v>
      </c>
      <c r="M161" s="685"/>
      <c r="N161" s="685"/>
      <c r="O161" s="677"/>
      <c r="P161" s="348"/>
      <c r="Q161" s="685"/>
      <c r="R161" s="677"/>
      <c r="S161" s="349"/>
      <c r="T161" s="473"/>
      <c r="U161" s="472"/>
      <c r="V161" s="474"/>
    </row>
    <row r="162" spans="1:22" outlineLevel="2">
      <c r="A162" s="511" t="s">
        <v>303</v>
      </c>
      <c r="B162" s="514"/>
      <c r="C162" s="554"/>
      <c r="D162" s="554"/>
      <c r="E162" s="555">
        <f>+E164*$K$164</f>
        <v>1</v>
      </c>
      <c r="F162" s="620"/>
      <c r="G162" s="555"/>
      <c r="H162" s="554"/>
      <c r="I162" s="665"/>
      <c r="J162" s="555">
        <f>+J164*$L$164</f>
        <v>0.25</v>
      </c>
      <c r="K162" s="638">
        <v>0.3</v>
      </c>
      <c r="L162" s="638">
        <v>0.1</v>
      </c>
      <c r="M162" s="685">
        <f>+SUM(M163:M164)</f>
        <v>100000000</v>
      </c>
      <c r="N162" s="685">
        <f>+SUM(N163:N164)</f>
        <v>88650000</v>
      </c>
      <c r="O162" s="673">
        <f>+N162/M162</f>
        <v>0.88649999999999995</v>
      </c>
      <c r="P162" s="685">
        <f>+SUM(P163:P164)</f>
        <v>400000000</v>
      </c>
      <c r="Q162" s="685">
        <f>+SUM(Q163:Q164)</f>
        <v>88650000</v>
      </c>
      <c r="R162" s="673">
        <f>+Q162/P162</f>
        <v>0.22162499999999999</v>
      </c>
      <c r="S162" s="349"/>
      <c r="T162" s="473"/>
      <c r="U162" s="472"/>
      <c r="V162" s="474"/>
    </row>
    <row r="163" spans="1:22" ht="38.25" outlineLevel="3">
      <c r="A163" s="342" t="s">
        <v>304</v>
      </c>
      <c r="B163" s="353"/>
      <c r="C163" s="547"/>
      <c r="D163" s="547"/>
      <c r="E163" s="547"/>
      <c r="F163" s="604"/>
      <c r="G163" s="534"/>
      <c r="H163" s="547"/>
      <c r="I163" s="664"/>
      <c r="J163" s="541"/>
      <c r="K163" s="637"/>
      <c r="L163" s="637"/>
      <c r="M163" s="685">
        <v>100000000</v>
      </c>
      <c r="N163" s="685">
        <v>88650000</v>
      </c>
      <c r="O163" s="673">
        <f>+N163/M163</f>
        <v>0.88649999999999995</v>
      </c>
      <c r="P163" s="348">
        <v>400000000</v>
      </c>
      <c r="Q163" s="685">
        <v>88650000</v>
      </c>
      <c r="R163" s="673">
        <f>+Q163/P163</f>
        <v>0.22162499999999999</v>
      </c>
      <c r="S163" s="349"/>
      <c r="T163" s="473"/>
      <c r="U163" s="472"/>
      <c r="V163" s="474"/>
    </row>
    <row r="164" spans="1:22" ht="81.75" customHeight="1" outlineLevel="3" thickBot="1">
      <c r="A164" s="488" t="s">
        <v>305</v>
      </c>
      <c r="B164" s="353" t="s">
        <v>173</v>
      </c>
      <c r="C164" s="547">
        <v>1</v>
      </c>
      <c r="D164" s="547">
        <v>1</v>
      </c>
      <c r="E164" s="530">
        <f>+D164/C164</f>
        <v>1</v>
      </c>
      <c r="F164" s="604" t="s">
        <v>306</v>
      </c>
      <c r="G164" s="534"/>
      <c r="H164" s="547">
        <v>4</v>
      </c>
      <c r="I164" s="664">
        <f>D164</f>
        <v>1</v>
      </c>
      <c r="J164" s="541">
        <f>+I164/H164</f>
        <v>0.25</v>
      </c>
      <c r="K164" s="637">
        <v>1</v>
      </c>
      <c r="L164" s="637">
        <v>1</v>
      </c>
      <c r="M164" s="685"/>
      <c r="N164" s="685"/>
      <c r="O164" s="677"/>
      <c r="P164" s="348"/>
      <c r="Q164" s="685"/>
      <c r="R164" s="677"/>
      <c r="S164" s="349"/>
      <c r="T164" s="484"/>
      <c r="U164" s="485"/>
      <c r="V164" s="486"/>
    </row>
    <row r="165" spans="1:22" ht="13.5" customHeight="1" thickBot="1">
      <c r="A165" s="489" t="s">
        <v>307</v>
      </c>
      <c r="B165" s="490"/>
      <c r="C165" s="552"/>
      <c r="D165" s="552"/>
      <c r="E165" s="553">
        <f>+E166*$K$166+E194*$K$194+E220*$K$220+E230*$K$230</f>
        <v>0.19249999999999998</v>
      </c>
      <c r="F165" s="619"/>
      <c r="G165" s="553"/>
      <c r="H165" s="552"/>
      <c r="I165" s="668"/>
      <c r="J165" s="553">
        <f>+J166*$L$166+J194*$L$194+J220*$L$220+J230*$L$230</f>
        <v>5.7968749999999999E-2</v>
      </c>
      <c r="K165" s="642">
        <v>0.15</v>
      </c>
      <c r="L165" s="642">
        <v>0.15</v>
      </c>
      <c r="M165" s="681">
        <f>+SUM(M166,M194,M220,M230)</f>
        <v>4806770856.4799995</v>
      </c>
      <c r="N165" s="681">
        <f>+SUM(N166,N194,N220,N230)</f>
        <v>1833038631</v>
      </c>
      <c r="O165" s="671">
        <f>+N165/M165</f>
        <v>0.38134512456088554</v>
      </c>
      <c r="P165" s="681">
        <f>+SUM(P166,P194,P220,P230)</f>
        <v>30000000000</v>
      </c>
      <c r="Q165" s="681">
        <f>+SUM(Q166,Q194,Q220,Q230)</f>
        <v>1833038631</v>
      </c>
      <c r="R165" s="671">
        <f>+Q165/P165</f>
        <v>6.11012877E-2</v>
      </c>
      <c r="S165" s="491"/>
      <c r="T165" s="492"/>
      <c r="U165" s="493"/>
      <c r="V165" s="494"/>
    </row>
    <row r="166" spans="1:22" ht="26.25" outlineLevel="1" thickBot="1">
      <c r="A166" s="504" t="s">
        <v>308</v>
      </c>
      <c r="B166" s="510"/>
      <c r="C166" s="548"/>
      <c r="D166" s="548"/>
      <c r="E166" s="549">
        <f>+E167*$K$167+E174*$K$174+E184*$K$184+E189*$K$189</f>
        <v>0.05</v>
      </c>
      <c r="F166" s="617"/>
      <c r="G166" s="549"/>
      <c r="H166" s="548"/>
      <c r="I166" s="666"/>
      <c r="J166" s="549">
        <f>+J167*$L$167+J174*$L$174+J184*$L$184+J189*$L$189</f>
        <v>9.3749999999999997E-3</v>
      </c>
      <c r="K166" s="635">
        <v>0.35</v>
      </c>
      <c r="L166" s="635">
        <v>0.35</v>
      </c>
      <c r="M166" s="687">
        <f>+SUM(M167,M174,M184,M189)</f>
        <v>3061770856.48</v>
      </c>
      <c r="N166" s="687">
        <f>+SUM(N167,N174,N184,N189)</f>
        <v>833538631</v>
      </c>
      <c r="O166" s="536">
        <f>+N166/M166</f>
        <v>0.27224069666607487</v>
      </c>
      <c r="P166" s="687">
        <f>+SUM(P167,P174,P184,P189)</f>
        <v>14030000000</v>
      </c>
      <c r="Q166" s="687">
        <f>+SUM(Q167,Q174,Q184,Q189)</f>
        <v>833538631</v>
      </c>
      <c r="R166" s="536">
        <f>+Q166/P166</f>
        <v>5.9411164005702066E-2</v>
      </c>
      <c r="S166" s="505"/>
      <c r="T166" s="507"/>
      <c r="U166" s="508"/>
      <c r="V166" s="509"/>
    </row>
    <row r="167" spans="1:22" ht="25.5" outlineLevel="2">
      <c r="A167" s="512" t="s">
        <v>309</v>
      </c>
      <c r="B167" s="513"/>
      <c r="C167" s="550"/>
      <c r="D167" s="550"/>
      <c r="E167" s="540">
        <f>+E169*$K$169+E171*$K$171+E173*$K$173</f>
        <v>0</v>
      </c>
      <c r="F167" s="618"/>
      <c r="G167" s="540"/>
      <c r="H167" s="550"/>
      <c r="I167" s="667"/>
      <c r="J167" s="540">
        <f>+J169*$L$169+J171*$L$171+J173*$L$173</f>
        <v>0</v>
      </c>
      <c r="K167" s="636">
        <v>0.25</v>
      </c>
      <c r="L167" s="636">
        <v>0.25</v>
      </c>
      <c r="M167" s="685">
        <f>+SUM(M168:M173)</f>
        <v>240000000</v>
      </c>
      <c r="N167" s="685">
        <f>+SUM(N168:N173)</f>
        <v>47000000</v>
      </c>
      <c r="O167" s="673">
        <f>+N167/M167</f>
        <v>0.19583333333333333</v>
      </c>
      <c r="P167" s="685">
        <f>+SUM(P168:P173)</f>
        <v>2740000000</v>
      </c>
      <c r="Q167" s="685">
        <f>+SUM(Q168:Q173)</f>
        <v>47000000</v>
      </c>
      <c r="R167" s="673">
        <f>+Q167/P167</f>
        <v>1.7153284671532848E-2</v>
      </c>
      <c r="S167" s="487"/>
      <c r="T167" s="475"/>
      <c r="U167" s="476"/>
      <c r="V167" s="477"/>
    </row>
    <row r="168" spans="1:22" ht="25.5" outlineLevel="3">
      <c r="A168" s="342" t="s">
        <v>310</v>
      </c>
      <c r="B168" s="353"/>
      <c r="C168" s="547"/>
      <c r="D168" s="547"/>
      <c r="E168" s="547"/>
      <c r="F168" s="604"/>
      <c r="G168" s="534"/>
      <c r="H168" s="547"/>
      <c r="I168" s="664"/>
      <c r="J168" s="541"/>
      <c r="K168" s="637"/>
      <c r="L168" s="637"/>
      <c r="M168" s="685">
        <v>140000000</v>
      </c>
      <c r="N168" s="685">
        <v>47000000</v>
      </c>
      <c r="O168" s="673">
        <f>+N168/M168</f>
        <v>0.33571428571428569</v>
      </c>
      <c r="P168" s="348">
        <v>660000000</v>
      </c>
      <c r="Q168" s="685">
        <v>47000000</v>
      </c>
      <c r="R168" s="673">
        <f>+Q168/P168</f>
        <v>7.1212121212121213E-2</v>
      </c>
      <c r="S168" s="349"/>
      <c r="T168" s="473"/>
      <c r="U168" s="472"/>
      <c r="V168" s="474"/>
    </row>
    <row r="169" spans="1:22" ht="63.75" outlineLevel="3">
      <c r="A169" s="342" t="s">
        <v>311</v>
      </c>
      <c r="B169" s="353" t="s">
        <v>312</v>
      </c>
      <c r="C169" s="547">
        <v>5</v>
      </c>
      <c r="D169" s="811">
        <v>0</v>
      </c>
      <c r="E169" s="530">
        <f>+D169/C169</f>
        <v>0</v>
      </c>
      <c r="F169" s="604" t="s">
        <v>313</v>
      </c>
      <c r="G169" s="534"/>
      <c r="H169" s="547">
        <v>22</v>
      </c>
      <c r="I169" s="664">
        <f>D169</f>
        <v>0</v>
      </c>
      <c r="J169" s="541">
        <f>+I169/H169</f>
        <v>0</v>
      </c>
      <c r="K169" s="637">
        <v>0.5</v>
      </c>
      <c r="L169" s="637">
        <v>0.25</v>
      </c>
      <c r="M169" s="685"/>
      <c r="N169" s="685"/>
      <c r="O169" s="677"/>
      <c r="P169" s="348"/>
      <c r="Q169" s="685"/>
      <c r="R169" s="677"/>
      <c r="S169" s="349"/>
      <c r="T169" s="473"/>
      <c r="U169" s="472"/>
      <c r="V169" s="474"/>
    </row>
    <row r="170" spans="1:22" ht="25.5" outlineLevel="3">
      <c r="A170" s="342" t="s">
        <v>314</v>
      </c>
      <c r="B170" s="353"/>
      <c r="C170" s="547"/>
      <c r="D170" s="547"/>
      <c r="E170" s="547"/>
      <c r="F170" s="604"/>
      <c r="G170" s="534"/>
      <c r="H170" s="547"/>
      <c r="I170" s="664"/>
      <c r="J170" s="541"/>
      <c r="K170" s="637"/>
      <c r="L170" s="637"/>
      <c r="M170" s="685">
        <v>0</v>
      </c>
      <c r="N170" s="685">
        <v>0</v>
      </c>
      <c r="O170" s="677"/>
      <c r="P170" s="348">
        <v>1580000000</v>
      </c>
      <c r="Q170" s="685">
        <v>0</v>
      </c>
      <c r="R170" s="673">
        <f>+Q170/P170</f>
        <v>0</v>
      </c>
      <c r="S170" s="349"/>
      <c r="T170" s="473"/>
      <c r="U170" s="472"/>
      <c r="V170" s="474"/>
    </row>
    <row r="171" spans="1:22" outlineLevel="3">
      <c r="A171" s="342" t="s">
        <v>315</v>
      </c>
      <c r="B171" s="353" t="s">
        <v>243</v>
      </c>
      <c r="C171" s="547">
        <v>0</v>
      </c>
      <c r="D171" s="547">
        <v>0</v>
      </c>
      <c r="E171" s="528">
        <v>0</v>
      </c>
      <c r="F171" s="604"/>
      <c r="G171" s="534"/>
      <c r="H171" s="547">
        <v>44</v>
      </c>
      <c r="I171" s="664">
        <f>D171</f>
        <v>0</v>
      </c>
      <c r="J171" s="541">
        <f>+I171/H171</f>
        <v>0</v>
      </c>
      <c r="K171" s="637">
        <v>0</v>
      </c>
      <c r="L171" s="637">
        <v>0.5</v>
      </c>
      <c r="M171" s="685"/>
      <c r="N171" s="685"/>
      <c r="O171" s="677"/>
      <c r="P171" s="348"/>
      <c r="Q171" s="685"/>
      <c r="R171" s="677"/>
      <c r="S171" s="349"/>
      <c r="T171" s="473"/>
      <c r="U171" s="472"/>
      <c r="V171" s="474"/>
    </row>
    <row r="172" spans="1:22" ht="25.5" outlineLevel="3">
      <c r="A172" s="342" t="s">
        <v>316</v>
      </c>
      <c r="B172" s="353"/>
      <c r="C172" s="547"/>
      <c r="D172" s="547"/>
      <c r="E172" s="547"/>
      <c r="F172" s="604"/>
      <c r="G172" s="534"/>
      <c r="H172" s="547"/>
      <c r="I172" s="664"/>
      <c r="J172" s="541"/>
      <c r="K172" s="637"/>
      <c r="L172" s="637"/>
      <c r="M172" s="685">
        <v>100000000</v>
      </c>
      <c r="N172" s="685">
        <v>0</v>
      </c>
      <c r="O172" s="673">
        <f>+N172/M172</f>
        <v>0</v>
      </c>
      <c r="P172" s="348">
        <v>500000000</v>
      </c>
      <c r="Q172" s="685">
        <v>0</v>
      </c>
      <c r="R172" s="673">
        <f>+Q172/P172</f>
        <v>0</v>
      </c>
      <c r="S172" s="349"/>
      <c r="T172" s="473"/>
      <c r="U172" s="472"/>
      <c r="V172" s="474"/>
    </row>
    <row r="173" spans="1:22" ht="120.75" customHeight="1" outlineLevel="3">
      <c r="A173" s="342" t="s">
        <v>317</v>
      </c>
      <c r="B173" s="353" t="s">
        <v>243</v>
      </c>
      <c r="C173" s="547">
        <v>1</v>
      </c>
      <c r="D173" s="547">
        <v>0</v>
      </c>
      <c r="E173" s="530">
        <f>+D173/C173</f>
        <v>0</v>
      </c>
      <c r="F173" s="604" t="s">
        <v>318</v>
      </c>
      <c r="G173" s="534"/>
      <c r="H173" s="547">
        <v>4</v>
      </c>
      <c r="I173" s="664">
        <f>D173</f>
        <v>0</v>
      </c>
      <c r="J173" s="541">
        <f>+I173/H173</f>
        <v>0</v>
      </c>
      <c r="K173" s="637">
        <v>0.5</v>
      </c>
      <c r="L173" s="637">
        <v>0.25</v>
      </c>
      <c r="M173" s="685"/>
      <c r="N173" s="685"/>
      <c r="O173" s="677"/>
      <c r="P173" s="348"/>
      <c r="Q173" s="685"/>
      <c r="R173" s="677"/>
      <c r="S173" s="349"/>
      <c r="T173" s="473"/>
      <c r="U173" s="472"/>
      <c r="V173" s="474"/>
    </row>
    <row r="174" spans="1:22" outlineLevel="2">
      <c r="A174" s="511" t="s">
        <v>319</v>
      </c>
      <c r="B174" s="514"/>
      <c r="C174" s="554"/>
      <c r="D174" s="554"/>
      <c r="E174" s="555">
        <f>+E176*$K$176+E178*$K$178+E180*$K$180+E182*$K$182+E183*$K$183</f>
        <v>0.2</v>
      </c>
      <c r="F174" s="620"/>
      <c r="G174" s="555"/>
      <c r="H174" s="554"/>
      <c r="I174" s="665"/>
      <c r="J174" s="555">
        <f>+J176*$L$176+J178*$L$178+J180*$L$180+J182*$L$182+J183*$L$183</f>
        <v>3.7499999999999999E-2</v>
      </c>
      <c r="K174" s="638">
        <v>0.25</v>
      </c>
      <c r="L174" s="638">
        <v>0.25</v>
      </c>
      <c r="M174" s="685">
        <f>+SUM(M175:M183)</f>
        <v>790000000</v>
      </c>
      <c r="N174" s="685">
        <f>+SUM(N175:N183)</f>
        <v>12000000</v>
      </c>
      <c r="O174" s="673">
        <f>+N174/M174</f>
        <v>1.5189873417721518E-2</v>
      </c>
      <c r="P174" s="685">
        <f>+SUM(P175:P183)</f>
        <v>4520000000</v>
      </c>
      <c r="Q174" s="685">
        <f>+SUM(Q175:Q183)</f>
        <v>12000000</v>
      </c>
      <c r="R174" s="673">
        <f>+Q174/P174</f>
        <v>2.6548672566371681E-3</v>
      </c>
      <c r="S174" s="349"/>
      <c r="T174" s="473"/>
      <c r="U174" s="472"/>
      <c r="V174" s="474"/>
    </row>
    <row r="175" spans="1:22" ht="25.5" outlineLevel="3">
      <c r="A175" s="342" t="s">
        <v>320</v>
      </c>
      <c r="B175" s="353"/>
      <c r="C175" s="547"/>
      <c r="D175" s="547"/>
      <c r="E175" s="547"/>
      <c r="F175" s="604"/>
      <c r="G175" s="534"/>
      <c r="H175" s="547"/>
      <c r="I175" s="664"/>
      <c r="J175" s="541"/>
      <c r="K175" s="637"/>
      <c r="L175" s="637"/>
      <c r="M175" s="685">
        <v>550000000</v>
      </c>
      <c r="N175" s="685">
        <v>12000000</v>
      </c>
      <c r="O175" s="673">
        <f>+N175/M175</f>
        <v>2.181818181818182E-2</v>
      </c>
      <c r="P175" s="348">
        <v>2600000000</v>
      </c>
      <c r="Q175" s="685">
        <v>12000000</v>
      </c>
      <c r="R175" s="673">
        <f>+Q175/P175</f>
        <v>4.6153846153846158E-3</v>
      </c>
      <c r="S175" s="349"/>
      <c r="T175" s="473"/>
      <c r="U175" s="472"/>
      <c r="V175" s="474"/>
    </row>
    <row r="176" spans="1:22" ht="120.75" customHeight="1" outlineLevel="3">
      <c r="A176" s="342" t="s">
        <v>321</v>
      </c>
      <c r="B176" s="353" t="s">
        <v>156</v>
      </c>
      <c r="C176" s="547">
        <v>15</v>
      </c>
      <c r="D176" s="547">
        <v>0</v>
      </c>
      <c r="E176" s="530">
        <f>+D176/C176</f>
        <v>0</v>
      </c>
      <c r="F176" s="604" t="s">
        <v>318</v>
      </c>
      <c r="G176" s="534"/>
      <c r="H176" s="547">
        <v>133</v>
      </c>
      <c r="I176" s="664">
        <f>D176</f>
        <v>0</v>
      </c>
      <c r="J176" s="541">
        <f>+I176/H176</f>
        <v>0</v>
      </c>
      <c r="K176" s="637">
        <v>0.5</v>
      </c>
      <c r="L176" s="637">
        <v>0.45</v>
      </c>
      <c r="M176" s="685"/>
      <c r="N176" s="685"/>
      <c r="O176" s="677"/>
      <c r="P176" s="348"/>
      <c r="Q176" s="685"/>
      <c r="R176" s="677"/>
      <c r="S176" s="349"/>
      <c r="T176" s="473"/>
      <c r="U176" s="472"/>
      <c r="V176" s="474"/>
    </row>
    <row r="177" spans="1:22" ht="25.5" outlineLevel="3">
      <c r="A177" s="342" t="s">
        <v>322</v>
      </c>
      <c r="B177" s="353"/>
      <c r="C177" s="547"/>
      <c r="D177" s="547"/>
      <c r="E177" s="547"/>
      <c r="F177" s="604"/>
      <c r="G177" s="534"/>
      <c r="H177" s="547"/>
      <c r="I177" s="664"/>
      <c r="J177" s="541"/>
      <c r="K177" s="637"/>
      <c r="L177" s="637"/>
      <c r="M177" s="685">
        <v>140000000</v>
      </c>
      <c r="N177" s="685">
        <v>0</v>
      </c>
      <c r="O177" s="673">
        <f>+N177/M177</f>
        <v>0</v>
      </c>
      <c r="P177" s="348">
        <v>1000000000</v>
      </c>
      <c r="Q177" s="685">
        <v>0</v>
      </c>
      <c r="R177" s="673">
        <f>+Q177/P177</f>
        <v>0</v>
      </c>
      <c r="S177" s="349"/>
      <c r="T177" s="473"/>
      <c r="U177" s="472"/>
      <c r="V177" s="474"/>
    </row>
    <row r="178" spans="1:22" ht="114.75" outlineLevel="3">
      <c r="A178" s="342" t="s">
        <v>323</v>
      </c>
      <c r="B178" s="353" t="s">
        <v>324</v>
      </c>
      <c r="C178" s="547">
        <v>5</v>
      </c>
      <c r="D178" s="547">
        <v>0</v>
      </c>
      <c r="E178" s="530">
        <f>+D178/C178</f>
        <v>0</v>
      </c>
      <c r="F178" s="604" t="s">
        <v>318</v>
      </c>
      <c r="G178" s="534"/>
      <c r="H178" s="547">
        <v>50</v>
      </c>
      <c r="I178" s="664">
        <f>D178</f>
        <v>0</v>
      </c>
      <c r="J178" s="541">
        <f>+I178/H178</f>
        <v>0</v>
      </c>
      <c r="K178" s="637">
        <v>0.3</v>
      </c>
      <c r="L178" s="637">
        <v>0.25</v>
      </c>
      <c r="M178" s="685"/>
      <c r="N178" s="685"/>
      <c r="O178" s="677"/>
      <c r="P178" s="348"/>
      <c r="Q178" s="685"/>
      <c r="R178" s="677"/>
      <c r="S178" s="349"/>
      <c r="T178" s="473"/>
      <c r="U178" s="472"/>
      <c r="V178" s="474"/>
    </row>
    <row r="179" spans="1:22" ht="25.5" outlineLevel="3">
      <c r="A179" s="342" t="s">
        <v>325</v>
      </c>
      <c r="B179" s="353"/>
      <c r="C179" s="547"/>
      <c r="D179" s="547"/>
      <c r="E179" s="547"/>
      <c r="F179" s="604"/>
      <c r="G179" s="534"/>
      <c r="H179" s="547"/>
      <c r="I179" s="664"/>
      <c r="J179" s="541"/>
      <c r="K179" s="637"/>
      <c r="L179" s="637"/>
      <c r="M179" s="685">
        <v>100000000</v>
      </c>
      <c r="N179" s="685">
        <v>0</v>
      </c>
      <c r="O179" s="673">
        <f>+N179/M179</f>
        <v>0</v>
      </c>
      <c r="P179" s="348">
        <v>400000000</v>
      </c>
      <c r="Q179" s="685">
        <v>0</v>
      </c>
      <c r="R179" s="673">
        <f>+Q179/P179</f>
        <v>0</v>
      </c>
      <c r="S179" s="349"/>
      <c r="T179" s="473"/>
      <c r="U179" s="472"/>
      <c r="V179" s="474"/>
    </row>
    <row r="180" spans="1:22" ht="76.5" outlineLevel="3">
      <c r="A180" s="342" t="s">
        <v>326</v>
      </c>
      <c r="B180" s="353" t="s">
        <v>243</v>
      </c>
      <c r="C180" s="547">
        <v>1</v>
      </c>
      <c r="D180" s="547">
        <v>1</v>
      </c>
      <c r="E180" s="530">
        <f>+D180/C180</f>
        <v>1</v>
      </c>
      <c r="F180" s="604" t="s">
        <v>327</v>
      </c>
      <c r="G180" s="534"/>
      <c r="H180" s="547">
        <v>4</v>
      </c>
      <c r="I180" s="664">
        <f>D180</f>
        <v>1</v>
      </c>
      <c r="J180" s="541">
        <f>+I180/H180</f>
        <v>0.25</v>
      </c>
      <c r="K180" s="637">
        <v>0.2</v>
      </c>
      <c r="L180" s="637">
        <v>0.15</v>
      </c>
      <c r="M180" s="685"/>
      <c r="N180" s="685"/>
      <c r="O180" s="677"/>
      <c r="P180" s="348"/>
      <c r="Q180" s="685"/>
      <c r="R180" s="677"/>
      <c r="S180" s="349"/>
      <c r="T180" s="473"/>
      <c r="U180" s="472"/>
      <c r="V180" s="474"/>
    </row>
    <row r="181" spans="1:22" ht="25.5" outlineLevel="3">
      <c r="A181" s="342" t="s">
        <v>328</v>
      </c>
      <c r="B181" s="353"/>
      <c r="C181" s="547"/>
      <c r="D181" s="547"/>
      <c r="E181" s="547"/>
      <c r="F181" s="604"/>
      <c r="G181" s="534"/>
      <c r="H181" s="547"/>
      <c r="I181" s="664"/>
      <c r="J181" s="541"/>
      <c r="K181" s="637"/>
      <c r="L181" s="637"/>
      <c r="M181" s="685">
        <v>0</v>
      </c>
      <c r="N181" s="685">
        <v>0</v>
      </c>
      <c r="O181" s="677"/>
      <c r="P181" s="771">
        <v>520000000</v>
      </c>
      <c r="Q181" s="685">
        <v>0</v>
      </c>
      <c r="R181" s="673">
        <f>+Q181/P181</f>
        <v>0</v>
      </c>
      <c r="S181" s="349"/>
      <c r="T181" s="473"/>
      <c r="U181" s="472"/>
      <c r="V181" s="474"/>
    </row>
    <row r="182" spans="1:22" outlineLevel="3">
      <c r="A182" s="342" t="s">
        <v>329</v>
      </c>
      <c r="B182" s="353" t="s">
        <v>170</v>
      </c>
      <c r="C182" s="547">
        <v>0</v>
      </c>
      <c r="D182" s="547">
        <v>0</v>
      </c>
      <c r="E182" s="528">
        <v>0</v>
      </c>
      <c r="F182" s="604"/>
      <c r="G182" s="534"/>
      <c r="H182" s="547">
        <v>1</v>
      </c>
      <c r="I182" s="664">
        <f>D182</f>
        <v>0</v>
      </c>
      <c r="J182" s="541">
        <f>+I182/H182</f>
        <v>0</v>
      </c>
      <c r="K182" s="637">
        <v>0</v>
      </c>
      <c r="L182" s="637">
        <v>7.4999999999999997E-2</v>
      </c>
      <c r="M182" s="685"/>
      <c r="N182" s="685"/>
      <c r="O182" s="677"/>
      <c r="P182" s="348"/>
      <c r="Q182" s="685"/>
      <c r="R182" s="677"/>
      <c r="S182" s="349"/>
      <c r="T182" s="473"/>
      <c r="U182" s="472"/>
      <c r="V182" s="474"/>
    </row>
    <row r="183" spans="1:22" ht="22.5" customHeight="1" outlineLevel="3">
      <c r="A183" s="342" t="s">
        <v>330</v>
      </c>
      <c r="B183" s="353" t="s">
        <v>331</v>
      </c>
      <c r="C183" s="547">
        <v>0</v>
      </c>
      <c r="D183" s="547">
        <v>0</v>
      </c>
      <c r="E183" s="528">
        <v>0</v>
      </c>
      <c r="F183" s="604"/>
      <c r="G183" s="534"/>
      <c r="H183" s="547">
        <v>1</v>
      </c>
      <c r="I183" s="664">
        <f>D183</f>
        <v>0</v>
      </c>
      <c r="J183" s="541">
        <f>+I183/H183</f>
        <v>0</v>
      </c>
      <c r="K183" s="637">
        <v>0</v>
      </c>
      <c r="L183" s="637">
        <v>7.4999999999999997E-2</v>
      </c>
      <c r="M183" s="685"/>
      <c r="N183" s="685"/>
      <c r="O183" s="677"/>
      <c r="P183" s="348"/>
      <c r="Q183" s="685"/>
      <c r="R183" s="677"/>
      <c r="S183" s="349"/>
      <c r="T183" s="473"/>
      <c r="U183" s="472"/>
      <c r="V183" s="474"/>
    </row>
    <row r="184" spans="1:22" outlineLevel="2">
      <c r="A184" s="511" t="s">
        <v>332</v>
      </c>
      <c r="B184" s="514"/>
      <c r="C184" s="554"/>
      <c r="D184" s="554"/>
      <c r="E184" s="555">
        <f>+E186*$K$186+E188*$K$188</f>
        <v>0</v>
      </c>
      <c r="F184" s="620"/>
      <c r="G184" s="555"/>
      <c r="H184" s="554"/>
      <c r="I184" s="665"/>
      <c r="J184" s="555">
        <f>+J186*$L$186+J188*$L$188</f>
        <v>0</v>
      </c>
      <c r="K184" s="638">
        <v>0.25</v>
      </c>
      <c r="L184" s="638">
        <v>0.25</v>
      </c>
      <c r="M184" s="685">
        <f>+SUM(M185:M188)</f>
        <v>520000000</v>
      </c>
      <c r="N184" s="685">
        <f>+SUM(N185:N188)</f>
        <v>0</v>
      </c>
      <c r="O184" s="673">
        <f>+N184/M184</f>
        <v>0</v>
      </c>
      <c r="P184" s="685">
        <f>+SUM(P185:P188)</f>
        <v>3530000000</v>
      </c>
      <c r="Q184" s="685">
        <f>+SUM(Q185:Q188)</f>
        <v>0</v>
      </c>
      <c r="R184" s="673">
        <f>+Q184/P184</f>
        <v>0</v>
      </c>
      <c r="S184" s="349"/>
      <c r="T184" s="473"/>
      <c r="U184" s="472"/>
      <c r="V184" s="474"/>
    </row>
    <row r="185" spans="1:22" ht="33.75" customHeight="1" outlineLevel="3">
      <c r="A185" s="342" t="s">
        <v>333</v>
      </c>
      <c r="B185" s="353"/>
      <c r="C185" s="547"/>
      <c r="D185" s="547"/>
      <c r="E185" s="547"/>
      <c r="F185" s="604"/>
      <c r="G185" s="534"/>
      <c r="H185" s="547"/>
      <c r="I185" s="664"/>
      <c r="J185" s="541"/>
      <c r="K185" s="637"/>
      <c r="L185" s="637"/>
      <c r="M185" s="685">
        <v>520000000</v>
      </c>
      <c r="N185" s="685">
        <v>0</v>
      </c>
      <c r="O185" s="673">
        <f>+N185/M185</f>
        <v>0</v>
      </c>
      <c r="P185" s="348">
        <v>2480000000</v>
      </c>
      <c r="Q185" s="685">
        <v>0</v>
      </c>
      <c r="R185" s="673">
        <f>+Q185/P185</f>
        <v>0</v>
      </c>
      <c r="S185" s="349"/>
      <c r="T185" s="473"/>
      <c r="U185" s="472"/>
      <c r="V185" s="474"/>
    </row>
    <row r="186" spans="1:22" ht="114.75" outlineLevel="3">
      <c r="A186" s="342" t="s">
        <v>334</v>
      </c>
      <c r="B186" s="353" t="s">
        <v>335</v>
      </c>
      <c r="C186" s="547">
        <v>5</v>
      </c>
      <c r="D186" s="547">
        <v>0</v>
      </c>
      <c r="E186" s="530">
        <f>+D186/C186</f>
        <v>0</v>
      </c>
      <c r="F186" s="604" t="s">
        <v>318</v>
      </c>
      <c r="G186" s="534"/>
      <c r="H186" s="547">
        <v>33</v>
      </c>
      <c r="I186" s="664">
        <f>D186</f>
        <v>0</v>
      </c>
      <c r="J186" s="541">
        <f>+I186/H186</f>
        <v>0</v>
      </c>
      <c r="K186" s="637">
        <v>1</v>
      </c>
      <c r="L186" s="637">
        <v>0.7</v>
      </c>
      <c r="M186" s="685"/>
      <c r="N186" s="685"/>
      <c r="O186" s="677"/>
      <c r="P186" s="348"/>
      <c r="Q186" s="685"/>
      <c r="R186" s="677"/>
      <c r="S186" s="349"/>
      <c r="T186" s="473"/>
      <c r="U186" s="472"/>
      <c r="V186" s="474"/>
    </row>
    <row r="187" spans="1:22" ht="25.5" outlineLevel="3">
      <c r="A187" s="342" t="s">
        <v>336</v>
      </c>
      <c r="B187" s="353"/>
      <c r="C187" s="547"/>
      <c r="D187" s="547"/>
      <c r="E187" s="547"/>
      <c r="F187" s="604"/>
      <c r="G187" s="534"/>
      <c r="H187" s="547"/>
      <c r="I187" s="664"/>
      <c r="J187" s="541"/>
      <c r="K187" s="637"/>
      <c r="L187" s="637"/>
      <c r="M187" s="685">
        <v>0</v>
      </c>
      <c r="N187" s="685">
        <v>0</v>
      </c>
      <c r="O187" s="677"/>
      <c r="P187" s="348">
        <v>1050000000</v>
      </c>
      <c r="Q187" s="685">
        <v>0</v>
      </c>
      <c r="R187" s="673">
        <f>+Q187/P187</f>
        <v>0</v>
      </c>
      <c r="S187" s="349"/>
      <c r="T187" s="473"/>
      <c r="U187" s="472"/>
      <c r="V187" s="474"/>
    </row>
    <row r="188" spans="1:22" outlineLevel="3">
      <c r="A188" s="342" t="s">
        <v>337</v>
      </c>
      <c r="B188" s="353" t="s">
        <v>338</v>
      </c>
      <c r="C188" s="547">
        <v>0</v>
      </c>
      <c r="D188" s="547">
        <v>0</v>
      </c>
      <c r="E188" s="528">
        <v>0</v>
      </c>
      <c r="F188" s="604"/>
      <c r="G188" s="534"/>
      <c r="H188" s="547">
        <v>330</v>
      </c>
      <c r="I188" s="664">
        <f>D188</f>
        <v>0</v>
      </c>
      <c r="J188" s="541">
        <f>+I188/H188</f>
        <v>0</v>
      </c>
      <c r="K188" s="637">
        <v>0</v>
      </c>
      <c r="L188" s="637">
        <v>0.3</v>
      </c>
      <c r="M188" s="685"/>
      <c r="N188" s="685"/>
      <c r="O188" s="677"/>
      <c r="P188" s="348"/>
      <c r="Q188" s="685"/>
      <c r="R188" s="677"/>
      <c r="S188" s="349"/>
      <c r="T188" s="473"/>
      <c r="U188" s="472"/>
      <c r="V188" s="474"/>
    </row>
    <row r="189" spans="1:22" ht="25.5" outlineLevel="2">
      <c r="A189" s="511" t="s">
        <v>339</v>
      </c>
      <c r="B189" s="514"/>
      <c r="C189" s="554"/>
      <c r="D189" s="554"/>
      <c r="E189" s="544">
        <f>+E191*$K$191+E193*$K$193</f>
        <v>0</v>
      </c>
      <c r="F189" s="620"/>
      <c r="G189" s="544"/>
      <c r="H189" s="554"/>
      <c r="I189" s="665"/>
      <c r="J189" s="544">
        <f>+J191*$L$191+J193*$L$193</f>
        <v>0</v>
      </c>
      <c r="K189" s="638">
        <v>0.25</v>
      </c>
      <c r="L189" s="638">
        <v>0.25</v>
      </c>
      <c r="M189" s="685">
        <f>+SUM(M190:M193)</f>
        <v>1511770856.48</v>
      </c>
      <c r="N189" s="685">
        <f>+SUM(N190:N193)</f>
        <v>774538631</v>
      </c>
      <c r="O189" s="673">
        <f>+N189/M189</f>
        <v>0.51233864423304998</v>
      </c>
      <c r="P189" s="685">
        <f>+SUM(P190:P193)</f>
        <v>3240000000</v>
      </c>
      <c r="Q189" s="685">
        <f>+SUM(Q190:Q193)</f>
        <v>774538631</v>
      </c>
      <c r="R189" s="673">
        <f>+Q189/P189</f>
        <v>0.23905513302469136</v>
      </c>
      <c r="S189" s="349"/>
      <c r="T189" s="473"/>
      <c r="U189" s="472"/>
      <c r="V189" s="474"/>
    </row>
    <row r="190" spans="1:22" ht="33" customHeight="1" outlineLevel="3">
      <c r="A190" s="342" t="s">
        <v>340</v>
      </c>
      <c r="B190" s="353"/>
      <c r="C190" s="547"/>
      <c r="D190" s="547"/>
      <c r="E190" s="547"/>
      <c r="F190" s="604"/>
      <c r="G190" s="534"/>
      <c r="H190" s="547"/>
      <c r="I190" s="664"/>
      <c r="J190" s="541"/>
      <c r="K190" s="637"/>
      <c r="L190" s="637"/>
      <c r="M190" s="685">
        <f>200000000+791770856.48</f>
        <v>991770856.48000002</v>
      </c>
      <c r="N190" s="685">
        <v>774538631</v>
      </c>
      <c r="O190" s="673">
        <f>+N190/M190</f>
        <v>0.78096530659208707</v>
      </c>
      <c r="P190" s="348">
        <v>840000000</v>
      </c>
      <c r="Q190" s="685">
        <v>774538631</v>
      </c>
      <c r="R190" s="673">
        <f>+Q190/P190</f>
        <v>0.92206979880952378</v>
      </c>
      <c r="S190" s="349"/>
      <c r="T190" s="473"/>
      <c r="U190" s="472"/>
      <c r="V190" s="474"/>
    </row>
    <row r="191" spans="1:22" ht="114.75" outlineLevel="3">
      <c r="A191" s="342" t="s">
        <v>341</v>
      </c>
      <c r="B191" s="353" t="s">
        <v>156</v>
      </c>
      <c r="C191" s="547">
        <v>2</v>
      </c>
      <c r="D191" s="547">
        <v>0</v>
      </c>
      <c r="E191" s="530">
        <f>+D191/C191</f>
        <v>0</v>
      </c>
      <c r="F191" s="604" t="s">
        <v>318</v>
      </c>
      <c r="G191" s="534"/>
      <c r="H191" s="547">
        <v>7</v>
      </c>
      <c r="I191" s="664">
        <f>D191</f>
        <v>0</v>
      </c>
      <c r="J191" s="541">
        <f>+I191/H191</f>
        <v>0</v>
      </c>
      <c r="K191" s="637">
        <v>0.25</v>
      </c>
      <c r="L191" s="637">
        <v>0.25</v>
      </c>
      <c r="M191" s="685"/>
      <c r="N191" s="685"/>
      <c r="O191" s="677"/>
      <c r="P191" s="348"/>
      <c r="Q191" s="685"/>
      <c r="R191" s="677"/>
      <c r="S191" s="349"/>
      <c r="T191" s="473"/>
      <c r="U191" s="472"/>
      <c r="V191" s="474"/>
    </row>
    <row r="192" spans="1:22" ht="25.5" outlineLevel="3">
      <c r="A192" s="342" t="s">
        <v>342</v>
      </c>
      <c r="B192" s="353"/>
      <c r="C192" s="547"/>
      <c r="D192" s="547"/>
      <c r="E192" s="547"/>
      <c r="F192" s="604"/>
      <c r="G192" s="534"/>
      <c r="H192" s="547"/>
      <c r="I192" s="664"/>
      <c r="J192" s="541"/>
      <c r="K192" s="637"/>
      <c r="L192" s="637"/>
      <c r="M192" s="685">
        <v>520000000</v>
      </c>
      <c r="N192" s="685">
        <v>0</v>
      </c>
      <c r="O192" s="673">
        <f>+N192/M192</f>
        <v>0</v>
      </c>
      <c r="P192" s="348">
        <v>2400000000</v>
      </c>
      <c r="Q192" s="685">
        <v>0</v>
      </c>
      <c r="R192" s="673">
        <f>+Q192/P192</f>
        <v>0</v>
      </c>
      <c r="S192" s="349"/>
      <c r="T192" s="473"/>
      <c r="U192" s="472"/>
      <c r="V192" s="474"/>
    </row>
    <row r="193" spans="1:22" ht="115.5" outlineLevel="3" thickBot="1">
      <c r="A193" s="488" t="s">
        <v>343</v>
      </c>
      <c r="B193" s="353" t="s">
        <v>344</v>
      </c>
      <c r="C193" s="547">
        <v>25</v>
      </c>
      <c r="D193" s="547">
        <v>0</v>
      </c>
      <c r="E193" s="530">
        <f>+D193/C193</f>
        <v>0</v>
      </c>
      <c r="F193" s="604" t="s">
        <v>318</v>
      </c>
      <c r="G193" s="534"/>
      <c r="H193" s="547">
        <v>133</v>
      </c>
      <c r="I193" s="664">
        <f>D193</f>
        <v>0</v>
      </c>
      <c r="J193" s="541">
        <f>+I193/H193</f>
        <v>0</v>
      </c>
      <c r="K193" s="637">
        <v>0.75</v>
      </c>
      <c r="L193" s="637">
        <v>0.75</v>
      </c>
      <c r="M193" s="685"/>
      <c r="N193" s="685"/>
      <c r="O193" s="677"/>
      <c r="P193" s="348"/>
      <c r="Q193" s="685"/>
      <c r="R193" s="677"/>
      <c r="S193" s="349"/>
      <c r="T193" s="484"/>
      <c r="U193" s="485"/>
      <c r="V193" s="486"/>
    </row>
    <row r="194" spans="1:22" ht="26.25" outlineLevel="1" thickBot="1">
      <c r="A194" s="504" t="s">
        <v>345</v>
      </c>
      <c r="B194" s="510"/>
      <c r="C194" s="548"/>
      <c r="D194" s="548"/>
      <c r="E194" s="549">
        <f>+E195*$K$195+E200*$K$200+E206*$K$206+E217*$K$217</f>
        <v>0.5</v>
      </c>
      <c r="F194" s="617"/>
      <c r="G194" s="549"/>
      <c r="H194" s="548"/>
      <c r="I194" s="666"/>
      <c r="J194" s="549">
        <f>+J195*$L$195+J200*$L$200+J206*$L$206+J217*$L$217</f>
        <v>0.15625</v>
      </c>
      <c r="K194" s="635">
        <v>0.35</v>
      </c>
      <c r="L194" s="635">
        <v>0.35</v>
      </c>
      <c r="M194" s="687">
        <f>+SUM(M195,M200,M206,M217)</f>
        <v>1220000000</v>
      </c>
      <c r="N194" s="687">
        <f>+SUM(N195,N200,N206,N217)</f>
        <v>874500000</v>
      </c>
      <c r="O194" s="536">
        <f>+N194/M194</f>
        <v>0.71680327868852456</v>
      </c>
      <c r="P194" s="687">
        <f>+SUM(P195,P200,P206,P217)</f>
        <v>8610000000</v>
      </c>
      <c r="Q194" s="687">
        <f>+SUM(Q195,Q200,Q206,Q217)</f>
        <v>874500000</v>
      </c>
      <c r="R194" s="536">
        <f>+Q194/P194</f>
        <v>0.10156794425087108</v>
      </c>
      <c r="S194" s="505"/>
      <c r="T194" s="507"/>
      <c r="U194" s="508"/>
      <c r="V194" s="509"/>
    </row>
    <row r="195" spans="1:22" outlineLevel="2">
      <c r="A195" s="512" t="s">
        <v>346</v>
      </c>
      <c r="B195" s="513"/>
      <c r="C195" s="550"/>
      <c r="D195" s="550"/>
      <c r="E195" s="551">
        <f>+E197*$K$197+E199*$K$199</f>
        <v>1</v>
      </c>
      <c r="F195" s="618"/>
      <c r="G195" s="551"/>
      <c r="H195" s="550"/>
      <c r="I195" s="667"/>
      <c r="J195" s="551">
        <f>+J197*$L$197+J199*$L$199</f>
        <v>0.5</v>
      </c>
      <c r="K195" s="636">
        <v>0.25</v>
      </c>
      <c r="L195" s="636">
        <v>0.25</v>
      </c>
      <c r="M195" s="685">
        <f>+SUM(M196:M199)</f>
        <v>140000000</v>
      </c>
      <c r="N195" s="685">
        <f>+SUM(N196:N199)</f>
        <v>94500000</v>
      </c>
      <c r="O195" s="673">
        <f>+N195/M195</f>
        <v>0.67500000000000004</v>
      </c>
      <c r="P195" s="685">
        <f>+SUM(P196:P199)</f>
        <v>2000000000</v>
      </c>
      <c r="Q195" s="685">
        <f>+SUM(Q196:Q199)</f>
        <v>94500000</v>
      </c>
      <c r="R195" s="673">
        <f>+Q195/P195</f>
        <v>4.725E-2</v>
      </c>
      <c r="S195" s="487"/>
      <c r="T195" s="475"/>
      <c r="U195" s="476"/>
      <c r="V195" s="477"/>
    </row>
    <row r="196" spans="1:22" ht="51" outlineLevel="3">
      <c r="A196" s="342" t="s">
        <v>347</v>
      </c>
      <c r="B196" s="353"/>
      <c r="C196" s="547"/>
      <c r="D196" s="547"/>
      <c r="E196" s="547"/>
      <c r="F196" s="604"/>
      <c r="G196" s="534"/>
      <c r="H196" s="547"/>
      <c r="I196" s="664"/>
      <c r="J196" s="541"/>
      <c r="K196" s="637"/>
      <c r="L196" s="637"/>
      <c r="M196" s="685">
        <v>140000000</v>
      </c>
      <c r="N196" s="685">
        <v>94500000</v>
      </c>
      <c r="O196" s="673">
        <f>+N196/M196</f>
        <v>0.67500000000000004</v>
      </c>
      <c r="P196" s="348">
        <v>1000000000</v>
      </c>
      <c r="Q196" s="685">
        <v>94500000</v>
      </c>
      <c r="R196" s="673">
        <f>+Q196/P196</f>
        <v>9.4500000000000001E-2</v>
      </c>
      <c r="S196" s="349"/>
      <c r="T196" s="473"/>
      <c r="U196" s="472"/>
      <c r="V196" s="474"/>
    </row>
    <row r="197" spans="1:22" ht="40.5" customHeight="1" outlineLevel="3">
      <c r="A197" s="342" t="s">
        <v>348</v>
      </c>
      <c r="B197" s="353" t="s">
        <v>92</v>
      </c>
      <c r="C197" s="556">
        <v>1</v>
      </c>
      <c r="D197" s="556">
        <v>1</v>
      </c>
      <c r="E197" s="530">
        <f>+D197/C197</f>
        <v>1</v>
      </c>
      <c r="F197" s="604" t="s">
        <v>349</v>
      </c>
      <c r="G197" s="534"/>
      <c r="H197" s="556">
        <v>1</v>
      </c>
      <c r="I197" s="558">
        <f>D197</f>
        <v>1</v>
      </c>
      <c r="J197" s="541">
        <f>+I197/H197</f>
        <v>1</v>
      </c>
      <c r="K197" s="637">
        <v>1</v>
      </c>
      <c r="L197" s="637">
        <v>0.5</v>
      </c>
      <c r="M197" s="685"/>
      <c r="N197" s="685"/>
      <c r="O197" s="677"/>
      <c r="P197" s="348"/>
      <c r="Q197" s="685"/>
      <c r="R197" s="677"/>
      <c r="S197" s="349"/>
      <c r="T197" s="473"/>
      <c r="U197" s="472"/>
      <c r="V197" s="474"/>
    </row>
    <row r="198" spans="1:22" ht="25.5" outlineLevel="3">
      <c r="A198" s="342" t="s">
        <v>350</v>
      </c>
      <c r="B198" s="353"/>
      <c r="C198" s="547"/>
      <c r="D198" s="547"/>
      <c r="E198" s="547"/>
      <c r="F198" s="604"/>
      <c r="G198" s="534"/>
      <c r="H198" s="547"/>
      <c r="I198" s="664"/>
      <c r="J198" s="541"/>
      <c r="K198" s="637"/>
      <c r="L198" s="637"/>
      <c r="M198" s="685">
        <v>0</v>
      </c>
      <c r="N198" s="685">
        <v>0</v>
      </c>
      <c r="O198" s="677"/>
      <c r="P198" s="348">
        <v>1000000000</v>
      </c>
      <c r="Q198" s="685">
        <v>0</v>
      </c>
      <c r="R198" s="673">
        <f>+Q198/P198</f>
        <v>0</v>
      </c>
      <c r="S198" s="349"/>
      <c r="T198" s="473"/>
      <c r="U198" s="472"/>
      <c r="V198" s="474"/>
    </row>
    <row r="199" spans="1:22" outlineLevel="3">
      <c r="A199" s="342" t="s">
        <v>351</v>
      </c>
      <c r="B199" s="353" t="s">
        <v>352</v>
      </c>
      <c r="C199" s="547">
        <v>0</v>
      </c>
      <c r="D199" s="547">
        <v>0</v>
      </c>
      <c r="E199" s="528">
        <v>0</v>
      </c>
      <c r="F199" s="604"/>
      <c r="G199" s="534"/>
      <c r="H199" s="547">
        <v>22</v>
      </c>
      <c r="I199" s="664">
        <f>D199</f>
        <v>0</v>
      </c>
      <c r="J199" s="541">
        <f>+I199/H199</f>
        <v>0</v>
      </c>
      <c r="K199" s="637">
        <v>0</v>
      </c>
      <c r="L199" s="637">
        <v>0.5</v>
      </c>
      <c r="M199" s="685"/>
      <c r="N199" s="685"/>
      <c r="O199" s="677"/>
      <c r="P199" s="348"/>
      <c r="Q199" s="685"/>
      <c r="R199" s="677"/>
      <c r="S199" s="349"/>
      <c r="T199" s="473"/>
      <c r="U199" s="472"/>
      <c r="V199" s="474"/>
    </row>
    <row r="200" spans="1:22" outlineLevel="2">
      <c r="A200" s="511" t="s">
        <v>353</v>
      </c>
      <c r="B200" s="514"/>
      <c r="C200" s="554"/>
      <c r="D200" s="554"/>
      <c r="E200" s="555">
        <f>+E202*$K$202+E203*$K$203+E205*$K$205</f>
        <v>0</v>
      </c>
      <c r="F200" s="620"/>
      <c r="G200" s="555"/>
      <c r="H200" s="554"/>
      <c r="I200" s="665"/>
      <c r="J200" s="555">
        <f>+J202*$L$202+J203*$L$203+J205*$L$205</f>
        <v>0</v>
      </c>
      <c r="K200" s="638">
        <v>0.25</v>
      </c>
      <c r="L200" s="638">
        <v>0.25</v>
      </c>
      <c r="M200" s="685">
        <f>+SUM(M201:M204)</f>
        <v>680000000</v>
      </c>
      <c r="N200" s="685">
        <f>+SUM(N201:N204)</f>
        <v>680000000</v>
      </c>
      <c r="O200" s="673">
        <f>+N200/M200</f>
        <v>1</v>
      </c>
      <c r="P200" s="685">
        <f>+SUM(P201:P204)</f>
        <v>3920000000</v>
      </c>
      <c r="Q200" s="685">
        <f>+SUM(Q201:Q204)</f>
        <v>680000000</v>
      </c>
      <c r="R200" s="673">
        <f>+Q200/P200</f>
        <v>0.17346938775510204</v>
      </c>
      <c r="S200" s="349"/>
      <c r="T200" s="473"/>
      <c r="U200" s="472"/>
      <c r="V200" s="474"/>
    </row>
    <row r="201" spans="1:22" ht="25.5" outlineLevel="3">
      <c r="A201" s="342" t="s">
        <v>354</v>
      </c>
      <c r="B201" s="353"/>
      <c r="C201" s="547"/>
      <c r="D201" s="547"/>
      <c r="E201" s="547"/>
      <c r="F201" s="604" t="s">
        <v>154</v>
      </c>
      <c r="G201" s="534"/>
      <c r="H201" s="547"/>
      <c r="I201" s="664"/>
      <c r="J201" s="541"/>
      <c r="K201" s="637"/>
      <c r="L201" s="637"/>
      <c r="M201" s="685">
        <v>480000000</v>
      </c>
      <c r="N201" s="685">
        <v>480000000</v>
      </c>
      <c r="O201" s="673">
        <f>+N201/M201</f>
        <v>1</v>
      </c>
      <c r="P201" s="771">
        <v>3120000000</v>
      </c>
      <c r="Q201" s="685">
        <v>480000000</v>
      </c>
      <c r="R201" s="673">
        <f>+Q201/P201</f>
        <v>0.15384615384615385</v>
      </c>
      <c r="S201" s="349"/>
      <c r="T201" s="473"/>
      <c r="U201" s="472"/>
      <c r="V201" s="474"/>
    </row>
    <row r="202" spans="1:22" ht="78.75" customHeight="1" outlineLevel="3">
      <c r="A202" s="342" t="s">
        <v>355</v>
      </c>
      <c r="B202" s="353" t="s">
        <v>156</v>
      </c>
      <c r="C202" s="547">
        <v>2</v>
      </c>
      <c r="D202" s="547">
        <v>0</v>
      </c>
      <c r="E202" s="530">
        <f>+D202/C202</f>
        <v>0</v>
      </c>
      <c r="F202" s="604" t="s">
        <v>356</v>
      </c>
      <c r="G202" s="534"/>
      <c r="H202" s="547">
        <v>20</v>
      </c>
      <c r="I202" s="664">
        <f>D202</f>
        <v>0</v>
      </c>
      <c r="J202" s="541">
        <f>+I202/H202</f>
        <v>0</v>
      </c>
      <c r="K202" s="637">
        <v>0.35</v>
      </c>
      <c r="L202" s="637">
        <v>0.35</v>
      </c>
      <c r="M202" s="685"/>
      <c r="N202" s="685"/>
      <c r="O202" s="677"/>
      <c r="P202" s="348"/>
      <c r="Q202" s="685"/>
      <c r="R202" s="677"/>
      <c r="S202" s="349"/>
      <c r="T202" s="473"/>
      <c r="U202" s="472"/>
      <c r="V202" s="474"/>
    </row>
    <row r="203" spans="1:22" ht="81.75" customHeight="1" outlineLevel="3">
      <c r="A203" s="342" t="s">
        <v>357</v>
      </c>
      <c r="B203" s="353" t="s">
        <v>358</v>
      </c>
      <c r="C203" s="547">
        <v>1</v>
      </c>
      <c r="D203" s="547">
        <v>0</v>
      </c>
      <c r="E203" s="530">
        <f>+D203/C203</f>
        <v>0</v>
      </c>
      <c r="F203" s="604" t="s">
        <v>356</v>
      </c>
      <c r="G203" s="534"/>
      <c r="H203" s="547">
        <v>4</v>
      </c>
      <c r="I203" s="664">
        <f>D203</f>
        <v>0</v>
      </c>
      <c r="J203" s="541">
        <f>+I203/H203</f>
        <v>0</v>
      </c>
      <c r="K203" s="637">
        <v>0.35</v>
      </c>
      <c r="L203" s="637">
        <v>0.35</v>
      </c>
      <c r="M203" s="685"/>
      <c r="N203" s="685"/>
      <c r="O203" s="677"/>
      <c r="P203" s="348"/>
      <c r="Q203" s="685"/>
      <c r="R203" s="677"/>
      <c r="S203" s="349"/>
      <c r="T203" s="473"/>
      <c r="U203" s="472"/>
      <c r="V203" s="474"/>
    </row>
    <row r="204" spans="1:22" ht="25.5" outlineLevel="3">
      <c r="A204" s="342" t="s">
        <v>359</v>
      </c>
      <c r="B204" s="353"/>
      <c r="C204" s="547"/>
      <c r="D204" s="547"/>
      <c r="E204" s="547"/>
      <c r="F204" s="604"/>
      <c r="G204" s="534"/>
      <c r="H204" s="547"/>
      <c r="I204" s="664"/>
      <c r="J204" s="541"/>
      <c r="K204" s="637"/>
      <c r="L204" s="637"/>
      <c r="M204" s="685">
        <v>200000000</v>
      </c>
      <c r="N204" s="685">
        <v>200000000</v>
      </c>
      <c r="O204" s="673">
        <f>+N204/M204</f>
        <v>1</v>
      </c>
      <c r="P204" s="348">
        <v>800000000</v>
      </c>
      <c r="Q204" s="685">
        <v>200000000</v>
      </c>
      <c r="R204" s="673">
        <f>+Q204/P204</f>
        <v>0.25</v>
      </c>
      <c r="S204" s="349"/>
      <c r="T204" s="473"/>
      <c r="U204" s="472"/>
      <c r="V204" s="474"/>
    </row>
    <row r="205" spans="1:22" ht="78.75" customHeight="1" outlineLevel="3">
      <c r="A205" s="342" t="s">
        <v>360</v>
      </c>
      <c r="B205" s="353" t="s">
        <v>156</v>
      </c>
      <c r="C205" s="547">
        <v>1</v>
      </c>
      <c r="D205" s="547">
        <v>0</v>
      </c>
      <c r="E205" s="530">
        <f>+D205/C205</f>
        <v>0</v>
      </c>
      <c r="F205" s="604" t="s">
        <v>356</v>
      </c>
      <c r="G205" s="534"/>
      <c r="H205" s="547">
        <v>4</v>
      </c>
      <c r="I205" s="664">
        <f>D205</f>
        <v>0</v>
      </c>
      <c r="J205" s="541">
        <f>+I205/H205</f>
        <v>0</v>
      </c>
      <c r="K205" s="637">
        <v>0.3</v>
      </c>
      <c r="L205" s="637">
        <v>0.3</v>
      </c>
      <c r="M205" s="685"/>
      <c r="N205" s="685"/>
      <c r="O205" s="677"/>
      <c r="P205" s="348"/>
      <c r="Q205" s="685"/>
      <c r="R205" s="677"/>
      <c r="S205" s="349"/>
      <c r="T205" s="473"/>
      <c r="U205" s="472"/>
      <c r="V205" s="474"/>
    </row>
    <row r="206" spans="1:22" ht="25.5" outlineLevel="2">
      <c r="A206" s="511" t="s">
        <v>361</v>
      </c>
      <c r="B206" s="514"/>
      <c r="C206" s="554"/>
      <c r="D206" s="554"/>
      <c r="E206" s="555">
        <f>+E208*$K$208+E209*$K$209+E211*$K$211+E213*$K$213+E215*$K$215+E216*$K$216</f>
        <v>1</v>
      </c>
      <c r="F206" s="620"/>
      <c r="G206" s="555"/>
      <c r="H206" s="554"/>
      <c r="I206" s="665"/>
      <c r="J206" s="555">
        <f>+J208*$L$208+J209*$L$209+J211*$L$211+J213*$L$213+J215*$L$215+J216*$L$216</f>
        <v>0.125</v>
      </c>
      <c r="K206" s="638">
        <v>0.25</v>
      </c>
      <c r="L206" s="638">
        <v>0.25</v>
      </c>
      <c r="M206" s="685">
        <f>+SUM(M207:M216)</f>
        <v>300000000</v>
      </c>
      <c r="N206" s="685">
        <f>+SUM(N207:N216)</f>
        <v>100000000</v>
      </c>
      <c r="O206" s="673">
        <f>+N206/M206</f>
        <v>0.33333333333333331</v>
      </c>
      <c r="P206" s="685">
        <f>+SUM(P207:P216)</f>
        <v>2290000000</v>
      </c>
      <c r="Q206" s="685">
        <f>+SUM(Q207:Q216)</f>
        <v>100000000</v>
      </c>
      <c r="R206" s="673">
        <f>+Q206/P206</f>
        <v>4.3668122270742356E-2</v>
      </c>
      <c r="S206" s="349"/>
      <c r="T206" s="473"/>
      <c r="U206" s="472"/>
      <c r="V206" s="474"/>
    </row>
    <row r="207" spans="1:22" ht="42" customHeight="1" outlineLevel="3">
      <c r="A207" s="342" t="s">
        <v>362</v>
      </c>
      <c r="B207" s="353"/>
      <c r="C207" s="547"/>
      <c r="D207" s="547"/>
      <c r="E207" s="547"/>
      <c r="F207" s="604"/>
      <c r="G207" s="534"/>
      <c r="H207" s="547"/>
      <c r="I207" s="664"/>
      <c r="J207" s="541"/>
      <c r="K207" s="637"/>
      <c r="L207" s="637"/>
      <c r="M207" s="685">
        <v>100000000</v>
      </c>
      <c r="N207" s="685">
        <v>100000000</v>
      </c>
      <c r="O207" s="673">
        <f>+N207/M207</f>
        <v>1</v>
      </c>
      <c r="P207" s="348">
        <v>400000000</v>
      </c>
      <c r="Q207" s="685">
        <v>100000000</v>
      </c>
      <c r="R207" s="673">
        <f>+Q207/P207</f>
        <v>0.25</v>
      </c>
      <c r="S207" s="349"/>
      <c r="T207" s="473"/>
      <c r="U207" s="472"/>
      <c r="V207" s="474"/>
    </row>
    <row r="208" spans="1:22" ht="51" customHeight="1" outlineLevel="3">
      <c r="A208" s="342" t="s">
        <v>363</v>
      </c>
      <c r="B208" s="353" t="s">
        <v>280</v>
      </c>
      <c r="C208" s="547">
        <v>1</v>
      </c>
      <c r="D208" s="547">
        <v>1</v>
      </c>
      <c r="E208" s="530">
        <f>+D208/C208</f>
        <v>1</v>
      </c>
      <c r="F208" s="604" t="s">
        <v>364</v>
      </c>
      <c r="G208" s="534"/>
      <c r="H208" s="547">
        <v>4</v>
      </c>
      <c r="I208" s="664">
        <f>D208</f>
        <v>1</v>
      </c>
      <c r="J208" s="541">
        <f>+I208/H208</f>
        <v>0.25</v>
      </c>
      <c r="K208" s="637">
        <v>0.25</v>
      </c>
      <c r="L208" s="637">
        <v>0.1</v>
      </c>
      <c r="M208" s="685"/>
      <c r="N208" s="685"/>
      <c r="O208" s="677"/>
      <c r="P208" s="348"/>
      <c r="Q208" s="685"/>
      <c r="R208" s="677"/>
      <c r="S208" s="349"/>
      <c r="T208" s="473"/>
      <c r="U208" s="472"/>
      <c r="V208" s="474"/>
    </row>
    <row r="209" spans="1:22" ht="51" outlineLevel="3">
      <c r="A209" s="342" t="s">
        <v>365</v>
      </c>
      <c r="B209" s="353" t="s">
        <v>366</v>
      </c>
      <c r="C209" s="547">
        <v>1</v>
      </c>
      <c r="D209" s="547">
        <v>1</v>
      </c>
      <c r="E209" s="530">
        <f>+D209/C209</f>
        <v>1</v>
      </c>
      <c r="F209" s="604" t="s">
        <v>367</v>
      </c>
      <c r="G209" s="534"/>
      <c r="H209" s="547">
        <v>4</v>
      </c>
      <c r="I209" s="664">
        <f>D209</f>
        <v>1</v>
      </c>
      <c r="J209" s="541">
        <f>+I209/H209</f>
        <v>0.25</v>
      </c>
      <c r="K209" s="637">
        <v>0.25</v>
      </c>
      <c r="L209" s="637">
        <v>0.1</v>
      </c>
      <c r="M209" s="685"/>
      <c r="N209" s="685"/>
      <c r="O209" s="677"/>
      <c r="P209" s="348"/>
      <c r="Q209" s="685"/>
      <c r="R209" s="677"/>
      <c r="S209" s="349"/>
      <c r="T209" s="473"/>
      <c r="U209" s="472"/>
      <c r="V209" s="474"/>
    </row>
    <row r="210" spans="1:22" ht="38.25" outlineLevel="3">
      <c r="A210" s="342" t="s">
        <v>368</v>
      </c>
      <c r="B210" s="353"/>
      <c r="C210" s="547"/>
      <c r="D210" s="547"/>
      <c r="E210" s="547"/>
      <c r="F210" s="604"/>
      <c r="G210" s="534"/>
      <c r="H210" s="547"/>
      <c r="I210" s="664"/>
      <c r="J210" s="541"/>
      <c r="K210" s="637"/>
      <c r="L210" s="637"/>
      <c r="M210" s="685">
        <v>0</v>
      </c>
      <c r="N210" s="685">
        <v>0</v>
      </c>
      <c r="O210" s="677"/>
      <c r="P210" s="348">
        <v>160000000</v>
      </c>
      <c r="Q210" s="685">
        <v>0</v>
      </c>
      <c r="R210" s="673">
        <f>+Q210/P210</f>
        <v>0</v>
      </c>
      <c r="S210" s="349"/>
      <c r="T210" s="473"/>
      <c r="U210" s="472"/>
      <c r="V210" s="474"/>
    </row>
    <row r="211" spans="1:22" outlineLevel="3">
      <c r="A211" s="342" t="s">
        <v>369</v>
      </c>
      <c r="B211" s="353" t="s">
        <v>352</v>
      </c>
      <c r="C211" s="547">
        <v>0</v>
      </c>
      <c r="D211" s="547">
        <v>0</v>
      </c>
      <c r="E211" s="528">
        <v>0</v>
      </c>
      <c r="F211" s="604"/>
      <c r="G211" s="534"/>
      <c r="H211" s="547">
        <v>4</v>
      </c>
      <c r="I211" s="664">
        <f>D211</f>
        <v>0</v>
      </c>
      <c r="J211" s="541">
        <f>+I211/H211</f>
        <v>0</v>
      </c>
      <c r="K211" s="637">
        <v>0</v>
      </c>
      <c r="L211" s="637">
        <v>0.2</v>
      </c>
      <c r="M211" s="685"/>
      <c r="N211" s="685"/>
      <c r="O211" s="677"/>
      <c r="P211" s="348"/>
      <c r="Q211" s="685"/>
      <c r="R211" s="677"/>
      <c r="S211" s="349"/>
      <c r="T211" s="473"/>
      <c r="U211" s="472"/>
      <c r="V211" s="474"/>
    </row>
    <row r="212" spans="1:22" ht="38.25" outlineLevel="3">
      <c r="A212" s="342" t="s">
        <v>370</v>
      </c>
      <c r="B212" s="353"/>
      <c r="C212" s="547"/>
      <c r="D212" s="547"/>
      <c r="E212" s="547"/>
      <c r="F212" s="604"/>
      <c r="G212" s="534"/>
      <c r="H212" s="547"/>
      <c r="I212" s="664"/>
      <c r="J212" s="541"/>
      <c r="K212" s="637"/>
      <c r="L212" s="637"/>
      <c r="M212" s="685">
        <v>200000000</v>
      </c>
      <c r="N212" s="685">
        <v>0</v>
      </c>
      <c r="O212" s="673">
        <f>+N212/M212</f>
        <v>0</v>
      </c>
      <c r="P212" s="348">
        <v>800000000</v>
      </c>
      <c r="Q212" s="685">
        <v>0</v>
      </c>
      <c r="R212" s="673">
        <f>+Q212/P212</f>
        <v>0</v>
      </c>
      <c r="S212" s="349"/>
      <c r="T212" s="473"/>
      <c r="U212" s="472"/>
      <c r="V212" s="474"/>
    </row>
    <row r="213" spans="1:22" ht="60.75" customHeight="1" outlineLevel="3">
      <c r="A213" s="342" t="s">
        <v>371</v>
      </c>
      <c r="B213" s="353" t="s">
        <v>156</v>
      </c>
      <c r="C213" s="547">
        <v>1</v>
      </c>
      <c r="D213" s="547">
        <v>1</v>
      </c>
      <c r="E213" s="530">
        <f>+D213/C213</f>
        <v>1</v>
      </c>
      <c r="F213" s="604" t="s">
        <v>372</v>
      </c>
      <c r="G213" s="534"/>
      <c r="H213" s="547">
        <v>4</v>
      </c>
      <c r="I213" s="664">
        <f>D213</f>
        <v>1</v>
      </c>
      <c r="J213" s="541">
        <f>+I213/H213</f>
        <v>0.25</v>
      </c>
      <c r="K213" s="637">
        <v>0.5</v>
      </c>
      <c r="L213" s="637">
        <v>0.3</v>
      </c>
      <c r="M213" s="685"/>
      <c r="N213" s="685"/>
      <c r="O213" s="677"/>
      <c r="P213" s="348"/>
      <c r="Q213" s="685"/>
      <c r="R213" s="677"/>
      <c r="S213" s="349"/>
      <c r="T213" s="473"/>
      <c r="U213" s="472"/>
      <c r="V213" s="474"/>
    </row>
    <row r="214" spans="1:22" ht="25.5" outlineLevel="3">
      <c r="A214" s="342" t="s">
        <v>373</v>
      </c>
      <c r="B214" s="353"/>
      <c r="C214" s="547"/>
      <c r="D214" s="547"/>
      <c r="E214" s="547"/>
      <c r="F214" s="604"/>
      <c r="G214" s="534"/>
      <c r="H214" s="547"/>
      <c r="I214" s="664"/>
      <c r="J214" s="541"/>
      <c r="K214" s="637"/>
      <c r="L214" s="637"/>
      <c r="M214" s="685">
        <v>0</v>
      </c>
      <c r="N214" s="685">
        <v>0</v>
      </c>
      <c r="O214" s="677"/>
      <c r="P214" s="348">
        <v>930000000</v>
      </c>
      <c r="Q214" s="685">
        <v>0</v>
      </c>
      <c r="R214" s="673">
        <f>+Q214/P214</f>
        <v>0</v>
      </c>
      <c r="S214" s="349"/>
      <c r="T214" s="473"/>
      <c r="U214" s="472"/>
      <c r="V214" s="474"/>
    </row>
    <row r="215" spans="1:22" outlineLevel="3">
      <c r="A215" s="342" t="s">
        <v>374</v>
      </c>
      <c r="B215" s="353" t="s">
        <v>375</v>
      </c>
      <c r="C215" s="547">
        <v>0</v>
      </c>
      <c r="D215" s="547">
        <v>0</v>
      </c>
      <c r="E215" s="528">
        <v>0</v>
      </c>
      <c r="F215" s="604"/>
      <c r="G215" s="534"/>
      <c r="H215" s="547">
        <v>2</v>
      </c>
      <c r="I215" s="664">
        <f>D215</f>
        <v>0</v>
      </c>
      <c r="J215" s="541">
        <f>+I215/H215</f>
        <v>0</v>
      </c>
      <c r="K215" s="637">
        <v>0</v>
      </c>
      <c r="L215" s="637">
        <v>0.15</v>
      </c>
      <c r="M215" s="685"/>
      <c r="N215" s="685"/>
      <c r="O215" s="677"/>
      <c r="P215" s="348"/>
      <c r="Q215" s="685"/>
      <c r="R215" s="677"/>
      <c r="S215" s="349"/>
      <c r="T215" s="473"/>
      <c r="U215" s="472"/>
      <c r="V215" s="474"/>
    </row>
    <row r="216" spans="1:22" ht="23.25" customHeight="1" outlineLevel="3">
      <c r="A216" s="342" t="s">
        <v>376</v>
      </c>
      <c r="B216" s="353" t="s">
        <v>377</v>
      </c>
      <c r="C216" s="547">
        <v>0</v>
      </c>
      <c r="D216" s="547">
        <v>0</v>
      </c>
      <c r="E216" s="528">
        <v>0</v>
      </c>
      <c r="F216" s="604"/>
      <c r="G216" s="534"/>
      <c r="H216" s="547">
        <v>3</v>
      </c>
      <c r="I216" s="664">
        <f>D216</f>
        <v>0</v>
      </c>
      <c r="J216" s="541">
        <f>+I216/H216</f>
        <v>0</v>
      </c>
      <c r="K216" s="637">
        <v>0</v>
      </c>
      <c r="L216" s="637">
        <v>0.15</v>
      </c>
      <c r="M216" s="685"/>
      <c r="N216" s="685"/>
      <c r="O216" s="677"/>
      <c r="P216" s="348"/>
      <c r="Q216" s="685"/>
      <c r="R216" s="677"/>
      <c r="S216" s="349"/>
      <c r="T216" s="473"/>
      <c r="U216" s="472"/>
      <c r="V216" s="474"/>
    </row>
    <row r="217" spans="1:22" ht="25.5" outlineLevel="2">
      <c r="A217" s="511" t="s">
        <v>378</v>
      </c>
      <c r="B217" s="514"/>
      <c r="C217" s="554"/>
      <c r="D217" s="554"/>
      <c r="E217" s="555">
        <f>+E219*$K$219</f>
        <v>0</v>
      </c>
      <c r="F217" s="620"/>
      <c r="G217" s="555"/>
      <c r="H217" s="554"/>
      <c r="I217" s="665"/>
      <c r="J217" s="555">
        <f>+J219*$L$219</f>
        <v>0</v>
      </c>
      <c r="K217" s="638">
        <v>0.25</v>
      </c>
      <c r="L217" s="638">
        <v>0.25</v>
      </c>
      <c r="M217" s="685">
        <f>+SUM(M218:M219)</f>
        <v>100000000</v>
      </c>
      <c r="N217" s="685">
        <f>+SUM(N218:N219)</f>
        <v>0</v>
      </c>
      <c r="O217" s="673">
        <f>+N217/M217</f>
        <v>0</v>
      </c>
      <c r="P217" s="685">
        <f>+SUM(P218:P219)</f>
        <v>400000000</v>
      </c>
      <c r="Q217" s="685">
        <f>+SUM(Q218:Q219)</f>
        <v>0</v>
      </c>
      <c r="R217" s="673">
        <f>+Q217/P217</f>
        <v>0</v>
      </c>
      <c r="S217" s="349"/>
      <c r="T217" s="473"/>
      <c r="U217" s="472"/>
      <c r="V217" s="474"/>
    </row>
    <row r="218" spans="1:22" ht="25.5" outlineLevel="3">
      <c r="A218" s="342" t="s">
        <v>379</v>
      </c>
      <c r="B218" s="353"/>
      <c r="C218" s="547"/>
      <c r="D218" s="547"/>
      <c r="E218" s="547"/>
      <c r="F218" s="604"/>
      <c r="G218" s="534"/>
      <c r="H218" s="547"/>
      <c r="I218" s="664"/>
      <c r="J218" s="541"/>
      <c r="K218" s="637"/>
      <c r="L218" s="637"/>
      <c r="M218" s="685">
        <v>100000000</v>
      </c>
      <c r="N218" s="685">
        <v>0</v>
      </c>
      <c r="O218" s="673">
        <f>+N218/M218</f>
        <v>0</v>
      </c>
      <c r="P218" s="348">
        <v>400000000</v>
      </c>
      <c r="Q218" s="685">
        <v>0</v>
      </c>
      <c r="R218" s="673">
        <f>+Q218/P218</f>
        <v>0</v>
      </c>
      <c r="S218" s="349"/>
      <c r="T218" s="473"/>
      <c r="U218" s="472"/>
      <c r="V218" s="474"/>
    </row>
    <row r="219" spans="1:22" ht="115.5" outlineLevel="3" thickBot="1">
      <c r="A219" s="488" t="s">
        <v>380</v>
      </c>
      <c r="B219" s="353" t="s">
        <v>156</v>
      </c>
      <c r="C219" s="547">
        <v>1</v>
      </c>
      <c r="D219" s="547">
        <v>0</v>
      </c>
      <c r="E219" s="530">
        <f>+D219/C219</f>
        <v>0</v>
      </c>
      <c r="F219" s="604" t="s">
        <v>318</v>
      </c>
      <c r="G219" s="534"/>
      <c r="H219" s="547">
        <v>4</v>
      </c>
      <c r="I219" s="664">
        <f>D219</f>
        <v>0</v>
      </c>
      <c r="J219" s="541">
        <f>+I219/H219</f>
        <v>0</v>
      </c>
      <c r="K219" s="637">
        <v>1</v>
      </c>
      <c r="L219" s="637">
        <v>1</v>
      </c>
      <c r="M219" s="685"/>
      <c r="N219" s="685"/>
      <c r="O219" s="677"/>
      <c r="P219" s="348"/>
      <c r="Q219" s="685"/>
      <c r="R219" s="677"/>
      <c r="S219" s="349"/>
      <c r="T219" s="484"/>
      <c r="U219" s="485"/>
      <c r="V219" s="486"/>
    </row>
    <row r="220" spans="1:22" ht="26.25" outlineLevel="1" thickBot="1">
      <c r="A220" s="504" t="s">
        <v>381</v>
      </c>
      <c r="B220" s="510"/>
      <c r="C220" s="548"/>
      <c r="D220" s="548"/>
      <c r="E220" s="549">
        <f>+E221*$K$221</f>
        <v>0</v>
      </c>
      <c r="F220" s="617"/>
      <c r="G220" s="549"/>
      <c r="H220" s="548"/>
      <c r="I220" s="666"/>
      <c r="J220" s="549">
        <f>+J221*$L$221</f>
        <v>0</v>
      </c>
      <c r="K220" s="635">
        <v>0.15</v>
      </c>
      <c r="L220" s="635">
        <v>0.15</v>
      </c>
      <c r="M220" s="687">
        <f>+SUM(M221)</f>
        <v>400000000</v>
      </c>
      <c r="N220" s="687">
        <f>+SUM(N221)</f>
        <v>0</v>
      </c>
      <c r="O220" s="536">
        <f>+N220/M220</f>
        <v>0</v>
      </c>
      <c r="P220" s="687">
        <f>+SUM(P221)</f>
        <v>3000000000</v>
      </c>
      <c r="Q220" s="687">
        <f>+SUM(Q221)</f>
        <v>0</v>
      </c>
      <c r="R220" s="536">
        <f>+Q220/P220</f>
        <v>0</v>
      </c>
      <c r="S220" s="505"/>
      <c r="T220" s="507"/>
      <c r="U220" s="508"/>
      <c r="V220" s="509"/>
    </row>
    <row r="221" spans="1:22" ht="27.75" customHeight="1" outlineLevel="2">
      <c r="A221" s="515" t="s">
        <v>382</v>
      </c>
      <c r="B221" s="513"/>
      <c r="C221" s="550"/>
      <c r="D221" s="550"/>
      <c r="E221" s="551">
        <f>+E223*$K$223+E225*$K$225+E227*$K$227+E229*$K$229</f>
        <v>0</v>
      </c>
      <c r="F221" s="618"/>
      <c r="G221" s="551"/>
      <c r="H221" s="550"/>
      <c r="I221" s="667"/>
      <c r="J221" s="551">
        <f>+J223*$L$223+J225*$L$225+J227*$L$227+J229*$L$229</f>
        <v>0</v>
      </c>
      <c r="K221" s="636">
        <v>1</v>
      </c>
      <c r="L221" s="636">
        <v>1</v>
      </c>
      <c r="M221" s="685">
        <f>+SUM(M222:M229)</f>
        <v>400000000</v>
      </c>
      <c r="N221" s="685">
        <f>+SUM(N222:N229)</f>
        <v>0</v>
      </c>
      <c r="O221" s="673">
        <f>+N221/M221</f>
        <v>0</v>
      </c>
      <c r="P221" s="685">
        <f>+SUM(P222:P229)</f>
        <v>3000000000</v>
      </c>
      <c r="Q221" s="685">
        <f>+SUM(Q222:Q229)</f>
        <v>0</v>
      </c>
      <c r="R221" s="673">
        <f>+Q221/P221</f>
        <v>0</v>
      </c>
      <c r="S221" s="487"/>
      <c r="T221" s="475"/>
      <c r="U221" s="476"/>
      <c r="V221" s="477"/>
    </row>
    <row r="222" spans="1:22" ht="38.25" outlineLevel="3">
      <c r="A222" s="342" t="s">
        <v>383</v>
      </c>
      <c r="B222" s="353"/>
      <c r="C222" s="547"/>
      <c r="D222" s="547"/>
      <c r="E222" s="547"/>
      <c r="F222" s="604"/>
      <c r="G222" s="534"/>
      <c r="H222" s="547"/>
      <c r="I222" s="664"/>
      <c r="J222" s="541"/>
      <c r="K222" s="637"/>
      <c r="L222" s="637"/>
      <c r="M222" s="685">
        <v>100000000</v>
      </c>
      <c r="N222" s="685">
        <v>0</v>
      </c>
      <c r="O222" s="673">
        <f>+N222/M222</f>
        <v>0</v>
      </c>
      <c r="P222" s="348">
        <v>750000000</v>
      </c>
      <c r="Q222" s="685">
        <v>0</v>
      </c>
      <c r="R222" s="673">
        <f>+Q222/P222</f>
        <v>0</v>
      </c>
      <c r="S222" s="349"/>
      <c r="T222" s="473"/>
      <c r="U222" s="472"/>
      <c r="V222" s="474"/>
    </row>
    <row r="223" spans="1:22" ht="114.75" outlineLevel="3">
      <c r="A223" s="342" t="s">
        <v>384</v>
      </c>
      <c r="B223" s="353" t="s">
        <v>253</v>
      </c>
      <c r="C223" s="547">
        <v>1</v>
      </c>
      <c r="D223" s="547">
        <v>0</v>
      </c>
      <c r="E223" s="531">
        <f>+D223/C223</f>
        <v>0</v>
      </c>
      <c r="F223" s="604" t="s">
        <v>318</v>
      </c>
      <c r="G223" s="534"/>
      <c r="H223" s="547">
        <v>4</v>
      </c>
      <c r="I223" s="664">
        <f>D223</f>
        <v>0</v>
      </c>
      <c r="J223" s="541">
        <f>+I223/H223</f>
        <v>0</v>
      </c>
      <c r="K223" s="637">
        <v>0.25</v>
      </c>
      <c r="L223" s="637">
        <v>0.25</v>
      </c>
      <c r="M223" s="685"/>
      <c r="N223" s="685"/>
      <c r="O223" s="677"/>
      <c r="P223" s="348"/>
      <c r="Q223" s="685"/>
      <c r="R223" s="677"/>
      <c r="S223" s="349"/>
      <c r="T223" s="473"/>
      <c r="U223" s="472"/>
      <c r="V223" s="474"/>
    </row>
    <row r="224" spans="1:22" ht="36.75" customHeight="1" outlineLevel="3">
      <c r="A224" s="342" t="s">
        <v>385</v>
      </c>
      <c r="B224" s="353"/>
      <c r="C224" s="547"/>
      <c r="D224" s="547"/>
      <c r="E224" s="547"/>
      <c r="F224" s="604"/>
      <c r="G224" s="534"/>
      <c r="H224" s="547"/>
      <c r="I224" s="664"/>
      <c r="J224" s="541"/>
      <c r="K224" s="637"/>
      <c r="L224" s="637"/>
      <c r="M224" s="685">
        <v>100000000</v>
      </c>
      <c r="N224" s="685">
        <v>0</v>
      </c>
      <c r="O224" s="673">
        <f>+N224/M224</f>
        <v>0</v>
      </c>
      <c r="P224" s="348">
        <v>750000000</v>
      </c>
      <c r="Q224" s="685">
        <v>0</v>
      </c>
      <c r="R224" s="673">
        <f>+Q224/P224</f>
        <v>0</v>
      </c>
      <c r="S224" s="349"/>
      <c r="T224" s="473"/>
      <c r="U224" s="472"/>
      <c r="V224" s="474"/>
    </row>
    <row r="225" spans="1:22" ht="114.75" outlineLevel="3">
      <c r="A225" s="342" t="s">
        <v>386</v>
      </c>
      <c r="B225" s="353" t="s">
        <v>243</v>
      </c>
      <c r="C225" s="547">
        <v>1</v>
      </c>
      <c r="D225" s="547">
        <v>0</v>
      </c>
      <c r="E225" s="530">
        <f>+D225/C225</f>
        <v>0</v>
      </c>
      <c r="F225" s="604" t="s">
        <v>318</v>
      </c>
      <c r="G225" s="534"/>
      <c r="H225" s="547">
        <v>4</v>
      </c>
      <c r="I225" s="664">
        <f>D225</f>
        <v>0</v>
      </c>
      <c r="J225" s="541">
        <f>+I225/H225</f>
        <v>0</v>
      </c>
      <c r="K225" s="637">
        <v>0.25</v>
      </c>
      <c r="L225" s="637">
        <v>0.25</v>
      </c>
      <c r="M225" s="685"/>
      <c r="N225" s="685"/>
      <c r="O225" s="677"/>
      <c r="P225" s="348"/>
      <c r="Q225" s="685"/>
      <c r="R225" s="677"/>
      <c r="S225" s="349"/>
      <c r="T225" s="473"/>
      <c r="U225" s="472"/>
      <c r="V225" s="474"/>
    </row>
    <row r="226" spans="1:22" ht="38.25" outlineLevel="3">
      <c r="A226" s="342" t="s">
        <v>387</v>
      </c>
      <c r="B226" s="353"/>
      <c r="C226" s="547"/>
      <c r="D226" s="547"/>
      <c r="E226" s="547"/>
      <c r="F226" s="604"/>
      <c r="G226" s="534"/>
      <c r="H226" s="547"/>
      <c r="I226" s="664"/>
      <c r="J226" s="541"/>
      <c r="K226" s="637"/>
      <c r="L226" s="637"/>
      <c r="M226" s="685">
        <v>100000000</v>
      </c>
      <c r="N226" s="685">
        <v>0</v>
      </c>
      <c r="O226" s="673">
        <f>+N226/M226</f>
        <v>0</v>
      </c>
      <c r="P226" s="348">
        <v>750000000</v>
      </c>
      <c r="Q226" s="685">
        <v>0</v>
      </c>
      <c r="R226" s="673">
        <f>+Q226/P226</f>
        <v>0</v>
      </c>
      <c r="S226" s="349"/>
      <c r="T226" s="473"/>
      <c r="U226" s="472"/>
      <c r="V226" s="474"/>
    </row>
    <row r="227" spans="1:22" ht="114.75" outlineLevel="3">
      <c r="A227" s="342" t="s">
        <v>386</v>
      </c>
      <c r="B227" s="353" t="s">
        <v>243</v>
      </c>
      <c r="C227" s="547">
        <v>1</v>
      </c>
      <c r="D227" s="547">
        <v>0</v>
      </c>
      <c r="E227" s="530">
        <f>+D227/C227</f>
        <v>0</v>
      </c>
      <c r="F227" s="604" t="s">
        <v>318</v>
      </c>
      <c r="G227" s="534"/>
      <c r="H227" s="547">
        <v>4</v>
      </c>
      <c r="I227" s="664">
        <f>D227</f>
        <v>0</v>
      </c>
      <c r="J227" s="541">
        <f>+I227/H227</f>
        <v>0</v>
      </c>
      <c r="K227" s="637">
        <v>0.25</v>
      </c>
      <c r="L227" s="637">
        <v>0.25</v>
      </c>
      <c r="M227" s="685"/>
      <c r="N227" s="685"/>
      <c r="O227" s="677"/>
      <c r="P227" s="348"/>
      <c r="Q227" s="685"/>
      <c r="R227" s="677"/>
      <c r="S227" s="349"/>
      <c r="T227" s="473"/>
      <c r="U227" s="472"/>
      <c r="V227" s="474"/>
    </row>
    <row r="228" spans="1:22" ht="25.5" outlineLevel="3">
      <c r="A228" s="342" t="s">
        <v>388</v>
      </c>
      <c r="B228" s="353"/>
      <c r="C228" s="547"/>
      <c r="D228" s="547"/>
      <c r="E228" s="547"/>
      <c r="F228" s="604"/>
      <c r="G228" s="534"/>
      <c r="H228" s="547"/>
      <c r="I228" s="664"/>
      <c r="J228" s="541"/>
      <c r="K228" s="637"/>
      <c r="L228" s="637"/>
      <c r="M228" s="685">
        <v>100000000</v>
      </c>
      <c r="N228" s="685">
        <v>0</v>
      </c>
      <c r="O228" s="673">
        <f>+N228/M228</f>
        <v>0</v>
      </c>
      <c r="P228" s="348">
        <v>750000000</v>
      </c>
      <c r="Q228" s="685">
        <v>0</v>
      </c>
      <c r="R228" s="673">
        <f>+Q228/P228</f>
        <v>0</v>
      </c>
      <c r="S228" s="349"/>
      <c r="T228" s="473"/>
      <c r="U228" s="472"/>
      <c r="V228" s="474"/>
    </row>
    <row r="229" spans="1:22" ht="115.5" outlineLevel="3" thickBot="1">
      <c r="A229" s="488" t="s">
        <v>389</v>
      </c>
      <c r="B229" s="353" t="s">
        <v>390</v>
      </c>
      <c r="C229" s="547">
        <v>1</v>
      </c>
      <c r="D229" s="547">
        <v>0</v>
      </c>
      <c r="E229" s="530">
        <f>+D229/C229</f>
        <v>0</v>
      </c>
      <c r="F229" s="604" t="s">
        <v>318</v>
      </c>
      <c r="G229" s="534"/>
      <c r="H229" s="547">
        <v>4</v>
      </c>
      <c r="I229" s="664">
        <f>D229</f>
        <v>0</v>
      </c>
      <c r="J229" s="541">
        <f>+I229/H229</f>
        <v>0</v>
      </c>
      <c r="K229" s="637">
        <v>0.25</v>
      </c>
      <c r="L229" s="637">
        <v>0.25</v>
      </c>
      <c r="M229" s="685"/>
      <c r="N229" s="685"/>
      <c r="O229" s="677"/>
      <c r="P229" s="348"/>
      <c r="Q229" s="685"/>
      <c r="R229" s="677"/>
      <c r="S229" s="349"/>
      <c r="T229" s="484"/>
      <c r="U229" s="485"/>
      <c r="V229" s="486"/>
    </row>
    <row r="230" spans="1:22" ht="26.25" outlineLevel="1" thickBot="1">
      <c r="A230" s="504" t="s">
        <v>391</v>
      </c>
      <c r="B230" s="510"/>
      <c r="C230" s="548"/>
      <c r="D230" s="548"/>
      <c r="E230" s="549">
        <f>+E231*$K$231+E236*$K$236</f>
        <v>0</v>
      </c>
      <c r="F230" s="617"/>
      <c r="G230" s="549"/>
      <c r="H230" s="548"/>
      <c r="I230" s="666"/>
      <c r="J230" s="549">
        <f>+J231*$L$231+J236*$L$236</f>
        <v>0</v>
      </c>
      <c r="K230" s="635">
        <v>0.15</v>
      </c>
      <c r="L230" s="635">
        <v>0.15</v>
      </c>
      <c r="M230" s="687">
        <f>+SUM(M231,M236)</f>
        <v>125000000</v>
      </c>
      <c r="N230" s="687">
        <f>+SUM(N231,N236)</f>
        <v>125000000</v>
      </c>
      <c r="O230" s="536">
        <f>+N230/M230</f>
        <v>1</v>
      </c>
      <c r="P230" s="687">
        <f>+SUM(P231,P236)</f>
        <v>4360000000</v>
      </c>
      <c r="Q230" s="687">
        <f>+SUM(Q231,Q236)</f>
        <v>125000000</v>
      </c>
      <c r="R230" s="536">
        <f>+Q230/P230</f>
        <v>2.8669724770642203E-2</v>
      </c>
      <c r="S230" s="505"/>
      <c r="T230" s="507"/>
      <c r="U230" s="508"/>
      <c r="V230" s="509"/>
    </row>
    <row r="231" spans="1:22" ht="42" customHeight="1" outlineLevel="2">
      <c r="A231" s="512" t="s">
        <v>392</v>
      </c>
      <c r="B231" s="513"/>
      <c r="C231" s="550"/>
      <c r="D231" s="550"/>
      <c r="E231" s="540">
        <f>+E233*$K$233+E235*$K$235</f>
        <v>0</v>
      </c>
      <c r="F231" s="618"/>
      <c r="G231" s="540"/>
      <c r="H231" s="550"/>
      <c r="I231" s="667"/>
      <c r="J231" s="540">
        <f>+J233*$L$233+J235*$L$235</f>
        <v>0</v>
      </c>
      <c r="K231" s="636">
        <v>0</v>
      </c>
      <c r="L231" s="636">
        <v>0.8</v>
      </c>
      <c r="M231" s="685">
        <f>+SUM(M232:M235)</f>
        <v>0</v>
      </c>
      <c r="N231" s="685">
        <f>+SUM(N232:N235)</f>
        <v>0</v>
      </c>
      <c r="O231" s="673"/>
      <c r="P231" s="685">
        <f>+SUM(P232:P235)</f>
        <v>3860000000</v>
      </c>
      <c r="Q231" s="685">
        <f>+SUM(Q232:Q235)</f>
        <v>0</v>
      </c>
      <c r="R231" s="673">
        <f>+Q231/P231</f>
        <v>0</v>
      </c>
      <c r="S231" s="487"/>
      <c r="T231" s="475"/>
      <c r="U231" s="476"/>
      <c r="V231" s="477"/>
    </row>
    <row r="232" spans="1:22" ht="25.5" outlineLevel="3">
      <c r="A232" s="342" t="s">
        <v>393</v>
      </c>
      <c r="B232" s="353"/>
      <c r="C232" s="547"/>
      <c r="D232" s="547"/>
      <c r="E232" s="547"/>
      <c r="F232" s="604"/>
      <c r="G232" s="534"/>
      <c r="H232" s="547"/>
      <c r="I232" s="664"/>
      <c r="J232" s="541"/>
      <c r="K232" s="637"/>
      <c r="L232" s="637"/>
      <c r="M232" s="685">
        <v>0</v>
      </c>
      <c r="N232" s="685">
        <v>0</v>
      </c>
      <c r="O232" s="673"/>
      <c r="P232" s="771">
        <v>80000000</v>
      </c>
      <c r="Q232" s="685">
        <v>0</v>
      </c>
      <c r="R232" s="673">
        <f>+Q232/P232</f>
        <v>0</v>
      </c>
      <c r="S232" s="349"/>
      <c r="T232" s="473"/>
      <c r="U232" s="472"/>
      <c r="V232" s="474"/>
    </row>
    <row r="233" spans="1:22" outlineLevel="3">
      <c r="A233" s="342" t="s">
        <v>394</v>
      </c>
      <c r="B233" s="353" t="s">
        <v>395</v>
      </c>
      <c r="C233" s="547">
        <v>0</v>
      </c>
      <c r="D233" s="547">
        <v>0</v>
      </c>
      <c r="E233" s="528">
        <v>0</v>
      </c>
      <c r="F233" s="604"/>
      <c r="G233" s="534"/>
      <c r="H233" s="547">
        <v>23</v>
      </c>
      <c r="I233" s="664">
        <f>D233</f>
        <v>0</v>
      </c>
      <c r="J233" s="541">
        <f>+I233/H233</f>
        <v>0</v>
      </c>
      <c r="K233" s="637">
        <v>0</v>
      </c>
      <c r="L233" s="637">
        <v>0.5</v>
      </c>
      <c r="M233" s="685"/>
      <c r="N233" s="685"/>
      <c r="O233" s="677"/>
      <c r="P233" s="348"/>
      <c r="Q233" s="685"/>
      <c r="R233" s="677"/>
      <c r="S233" s="349"/>
      <c r="T233" s="473"/>
      <c r="U233" s="472"/>
      <c r="V233" s="474"/>
    </row>
    <row r="234" spans="1:22" ht="25.5" outlineLevel="3">
      <c r="A234" s="342" t="s">
        <v>396</v>
      </c>
      <c r="B234" s="353"/>
      <c r="C234" s="547"/>
      <c r="D234" s="547"/>
      <c r="E234" s="528"/>
      <c r="F234" s="604"/>
      <c r="G234" s="534"/>
      <c r="H234" s="547"/>
      <c r="I234" s="664"/>
      <c r="J234" s="541"/>
      <c r="K234" s="637"/>
      <c r="L234" s="637"/>
      <c r="M234" s="685">
        <v>0</v>
      </c>
      <c r="N234" s="685">
        <v>0</v>
      </c>
      <c r="O234" s="677"/>
      <c r="P234" s="348">
        <v>3780000000</v>
      </c>
      <c r="Q234" s="685">
        <v>0</v>
      </c>
      <c r="R234" s="673">
        <f>+Q234/P234</f>
        <v>0</v>
      </c>
      <c r="S234" s="349"/>
      <c r="T234" s="473"/>
      <c r="U234" s="472"/>
      <c r="V234" s="474"/>
    </row>
    <row r="235" spans="1:22" outlineLevel="3">
      <c r="A235" s="342" t="s">
        <v>397</v>
      </c>
      <c r="B235" s="353" t="s">
        <v>92</v>
      </c>
      <c r="C235" s="547">
        <v>0</v>
      </c>
      <c r="D235" s="547">
        <v>0</v>
      </c>
      <c r="E235" s="528">
        <v>0</v>
      </c>
      <c r="F235" s="604"/>
      <c r="G235" s="534"/>
      <c r="H235" s="556">
        <v>1</v>
      </c>
      <c r="I235" s="664">
        <f>D235</f>
        <v>0</v>
      </c>
      <c r="J235" s="541">
        <f>+I235/H235</f>
        <v>0</v>
      </c>
      <c r="K235" s="637">
        <v>0</v>
      </c>
      <c r="L235" s="637">
        <v>0.5</v>
      </c>
      <c r="M235" s="685"/>
      <c r="N235" s="685"/>
      <c r="O235" s="677"/>
      <c r="P235" s="348"/>
      <c r="Q235" s="685"/>
      <c r="R235" s="677"/>
      <c r="S235" s="349"/>
      <c r="T235" s="473"/>
      <c r="U235" s="472"/>
      <c r="V235" s="474"/>
    </row>
    <row r="236" spans="1:22" ht="42" customHeight="1" outlineLevel="2">
      <c r="A236" s="511" t="s">
        <v>398</v>
      </c>
      <c r="B236" s="514"/>
      <c r="C236" s="554"/>
      <c r="D236" s="554"/>
      <c r="E236" s="555">
        <f>+E238*$K$238</f>
        <v>0</v>
      </c>
      <c r="F236" s="620"/>
      <c r="G236" s="555"/>
      <c r="H236" s="554"/>
      <c r="I236" s="665"/>
      <c r="J236" s="555">
        <f>+J238*$L$238</f>
        <v>0</v>
      </c>
      <c r="K236" s="638">
        <v>1</v>
      </c>
      <c r="L236" s="638">
        <v>0.2</v>
      </c>
      <c r="M236" s="685">
        <f>+SUM(M237:M238)</f>
        <v>125000000</v>
      </c>
      <c r="N236" s="685">
        <f>+SUM(N237:N238)</f>
        <v>125000000</v>
      </c>
      <c r="O236" s="673">
        <f>+N236/M236</f>
        <v>1</v>
      </c>
      <c r="P236" s="685">
        <f>+SUM(P237:P238)</f>
        <v>500000000</v>
      </c>
      <c r="Q236" s="685">
        <f>+SUM(Q237:Q238)</f>
        <v>125000000</v>
      </c>
      <c r="R236" s="673">
        <f>+Q236/P236</f>
        <v>0.25</v>
      </c>
      <c r="S236" s="349"/>
      <c r="T236" s="473"/>
      <c r="U236" s="472"/>
      <c r="V236" s="474"/>
    </row>
    <row r="237" spans="1:22" ht="25.5" outlineLevel="3">
      <c r="A237" s="342" t="s">
        <v>399</v>
      </c>
      <c r="B237" s="353"/>
      <c r="C237" s="547"/>
      <c r="D237" s="547"/>
      <c r="E237" s="547"/>
      <c r="F237" s="604"/>
      <c r="G237" s="534"/>
      <c r="H237" s="547"/>
      <c r="I237" s="664"/>
      <c r="J237" s="541"/>
      <c r="K237" s="637"/>
      <c r="L237" s="637"/>
      <c r="M237" s="685">
        <v>125000000</v>
      </c>
      <c r="N237" s="685">
        <v>125000000</v>
      </c>
      <c r="O237" s="673">
        <f>+N237/M237</f>
        <v>1</v>
      </c>
      <c r="P237" s="348">
        <v>500000000</v>
      </c>
      <c r="Q237" s="685">
        <v>125000000</v>
      </c>
      <c r="R237" s="673">
        <f>+Q237/P237</f>
        <v>0.25</v>
      </c>
      <c r="S237" s="349"/>
      <c r="T237" s="473"/>
      <c r="U237" s="472"/>
      <c r="V237" s="474"/>
    </row>
    <row r="238" spans="1:22" ht="77.25" outlineLevel="3" thickBot="1">
      <c r="A238" s="488" t="s">
        <v>400</v>
      </c>
      <c r="B238" s="353" t="s">
        <v>180</v>
      </c>
      <c r="C238" s="547">
        <v>1</v>
      </c>
      <c r="D238" s="547">
        <v>0</v>
      </c>
      <c r="E238" s="530">
        <f>+D238/C238</f>
        <v>0</v>
      </c>
      <c r="F238" s="604" t="s">
        <v>401</v>
      </c>
      <c r="G238" s="534"/>
      <c r="H238" s="547">
        <v>4</v>
      </c>
      <c r="I238" s="664">
        <f>D238</f>
        <v>0</v>
      </c>
      <c r="J238" s="541">
        <f>+I238/H238</f>
        <v>0</v>
      </c>
      <c r="K238" s="637">
        <v>1</v>
      </c>
      <c r="L238" s="637">
        <v>1</v>
      </c>
      <c r="M238" s="685"/>
      <c r="N238" s="685"/>
      <c r="O238" s="677"/>
      <c r="P238" s="348"/>
      <c r="Q238" s="685"/>
      <c r="R238" s="677"/>
      <c r="S238" s="349"/>
      <c r="T238" s="484"/>
      <c r="U238" s="485"/>
      <c r="V238" s="486"/>
    </row>
    <row r="239" spans="1:22" ht="14.25" customHeight="1" thickBot="1">
      <c r="A239" s="489" t="s">
        <v>402</v>
      </c>
      <c r="B239" s="490"/>
      <c r="C239" s="552"/>
      <c r="D239" s="552"/>
      <c r="E239" s="553">
        <f>+E240*$K$240+E244*$K$244+E254*$K$254+E269*$K$269+E309*$K$309+E330*$K$330+E340*$K$340</f>
        <v>0.86395</v>
      </c>
      <c r="F239" s="619"/>
      <c r="G239" s="553"/>
      <c r="H239" s="552"/>
      <c r="I239" s="668"/>
      <c r="J239" s="553">
        <f>+J240*$L$240+J244*$L$244+J254*$L$254+J269*$L$269+J309*$L$309+J330*$L$330+J340*$L$340</f>
        <v>0.15258294642857143</v>
      </c>
      <c r="K239" s="642">
        <v>0.15</v>
      </c>
      <c r="L239" s="642">
        <v>0.15</v>
      </c>
      <c r="M239" s="681">
        <f>+SUM(M240,M244,M254,M269,M309,M330,M340)</f>
        <v>3572719357.6800003</v>
      </c>
      <c r="N239" s="681">
        <f>+SUM(N240,N244,N254,N269,N309,N330,N340)</f>
        <v>2780417319</v>
      </c>
      <c r="O239" s="671">
        <f>+N239/M239</f>
        <v>0.77823557929988274</v>
      </c>
      <c r="P239" s="681">
        <f>+SUM(P240,P244,P254,P269,P309,P330,P340)</f>
        <v>26440000000</v>
      </c>
      <c r="Q239" s="681">
        <f>+SUM(Q240,Q244,Q254,Q269,Q309,Q330,Q340)</f>
        <v>2780417319</v>
      </c>
      <c r="R239" s="671">
        <f>+Q239/P239</f>
        <v>0.10515950525718608</v>
      </c>
      <c r="S239" s="491"/>
      <c r="T239" s="492"/>
      <c r="U239" s="493"/>
      <c r="V239" s="494"/>
    </row>
    <row r="240" spans="1:22" ht="13.5" outlineLevel="1" thickBot="1">
      <c r="A240" s="504" t="s">
        <v>403</v>
      </c>
      <c r="B240" s="510"/>
      <c r="C240" s="548"/>
      <c r="D240" s="548"/>
      <c r="E240" s="537">
        <f>+E241*$K$241</f>
        <v>0</v>
      </c>
      <c r="F240" s="617"/>
      <c r="G240" s="537"/>
      <c r="H240" s="548"/>
      <c r="I240" s="666"/>
      <c r="J240" s="537">
        <f>+J241*$L$241</f>
        <v>0</v>
      </c>
      <c r="K240" s="635">
        <v>0</v>
      </c>
      <c r="L240" s="635">
        <v>0.05</v>
      </c>
      <c r="M240" s="687">
        <f>+SUM(M241)</f>
        <v>0</v>
      </c>
      <c r="N240" s="687">
        <f>+SUM(N241)</f>
        <v>0</v>
      </c>
      <c r="O240" s="536"/>
      <c r="P240" s="687">
        <f>+SUM(P241)</f>
        <v>600000000</v>
      </c>
      <c r="Q240" s="687">
        <f>+SUM(Q241)</f>
        <v>0</v>
      </c>
      <c r="R240" s="536">
        <f>+Q240/P240</f>
        <v>0</v>
      </c>
      <c r="S240" s="505"/>
      <c r="T240" s="507"/>
      <c r="U240" s="508"/>
      <c r="V240" s="509"/>
    </row>
    <row r="241" spans="1:22" outlineLevel="2">
      <c r="A241" s="512" t="s">
        <v>404</v>
      </c>
      <c r="B241" s="513"/>
      <c r="C241" s="550"/>
      <c r="D241" s="550"/>
      <c r="E241" s="540">
        <f>+E243*$K$243</f>
        <v>0</v>
      </c>
      <c r="F241" s="618"/>
      <c r="G241" s="540"/>
      <c r="H241" s="550"/>
      <c r="I241" s="667"/>
      <c r="J241" s="540">
        <f>+J243*$L$243</f>
        <v>0</v>
      </c>
      <c r="K241" s="636">
        <v>0</v>
      </c>
      <c r="L241" s="636">
        <v>1</v>
      </c>
      <c r="M241" s="685">
        <f>+SUM(M242:M243)</f>
        <v>0</v>
      </c>
      <c r="N241" s="685">
        <f>+SUM(N242:N243)</f>
        <v>0</v>
      </c>
      <c r="O241" s="673"/>
      <c r="P241" s="685">
        <f>+SUM(P242:P243)</f>
        <v>600000000</v>
      </c>
      <c r="Q241" s="685">
        <f>+SUM(Q242:Q243)</f>
        <v>0</v>
      </c>
      <c r="R241" s="673">
        <f>+Q241/P241</f>
        <v>0</v>
      </c>
      <c r="S241" s="487"/>
      <c r="T241" s="475"/>
      <c r="U241" s="476"/>
      <c r="V241" s="477"/>
    </row>
    <row r="242" spans="1:22" outlineLevel="3">
      <c r="A242" s="342" t="s">
        <v>405</v>
      </c>
      <c r="B242" s="353"/>
      <c r="C242" s="547"/>
      <c r="D242" s="547"/>
      <c r="E242" s="547"/>
      <c r="F242" s="604"/>
      <c r="G242" s="534"/>
      <c r="H242" s="547"/>
      <c r="I242" s="664"/>
      <c r="J242" s="541"/>
      <c r="K242" s="637"/>
      <c r="L242" s="637"/>
      <c r="M242" s="685">
        <v>0</v>
      </c>
      <c r="N242" s="685">
        <v>0</v>
      </c>
      <c r="O242" s="677"/>
      <c r="P242" s="348">
        <v>600000000</v>
      </c>
      <c r="Q242" s="685">
        <v>0</v>
      </c>
      <c r="R242" s="673">
        <f>+Q242/P242</f>
        <v>0</v>
      </c>
      <c r="S242" s="349"/>
      <c r="T242" s="473"/>
      <c r="U242" s="472"/>
      <c r="V242" s="474"/>
    </row>
    <row r="243" spans="1:22" ht="13.5" outlineLevel="3" thickBot="1">
      <c r="A243" s="488" t="s">
        <v>406</v>
      </c>
      <c r="B243" s="353" t="s">
        <v>302</v>
      </c>
      <c r="C243" s="547">
        <v>0</v>
      </c>
      <c r="D243" s="547">
        <v>0</v>
      </c>
      <c r="E243" s="528">
        <v>0</v>
      </c>
      <c r="F243" s="604"/>
      <c r="G243" s="534"/>
      <c r="H243" s="547">
        <v>3</v>
      </c>
      <c r="I243" s="664">
        <f>D243</f>
        <v>0</v>
      </c>
      <c r="J243" s="541">
        <f>+I243/H243</f>
        <v>0</v>
      </c>
      <c r="K243" s="637">
        <v>0</v>
      </c>
      <c r="L243" s="637">
        <v>1</v>
      </c>
      <c r="M243" s="685"/>
      <c r="N243" s="685"/>
      <c r="O243" s="677"/>
      <c r="P243" s="348"/>
      <c r="Q243" s="685"/>
      <c r="R243" s="677"/>
      <c r="S243" s="349"/>
      <c r="T243" s="484"/>
      <c r="U243" s="485"/>
      <c r="V243" s="486"/>
    </row>
    <row r="244" spans="1:22" ht="13.5" outlineLevel="1" thickBot="1">
      <c r="A244" s="504" t="s">
        <v>407</v>
      </c>
      <c r="B244" s="510"/>
      <c r="C244" s="548"/>
      <c r="D244" s="548"/>
      <c r="E244" s="537">
        <f>+E245*$K$245+E248*$K$248+E251*$K$251</f>
        <v>1</v>
      </c>
      <c r="F244" s="617"/>
      <c r="G244" s="537"/>
      <c r="H244" s="548"/>
      <c r="I244" s="666"/>
      <c r="J244" s="537">
        <f>+J245*$L$245+J248*$L$248+J251*$L$251</f>
        <v>0.17499999999999999</v>
      </c>
      <c r="K244" s="635">
        <v>0.14000000000000001</v>
      </c>
      <c r="L244" s="635">
        <v>0.1</v>
      </c>
      <c r="M244" s="687">
        <f>+SUM(M245,M248,M251)</f>
        <v>210000000</v>
      </c>
      <c r="N244" s="687">
        <f>+SUM(N245,N248,N251)</f>
        <v>68500000</v>
      </c>
      <c r="O244" s="536">
        <f>+N244/M244</f>
        <v>0.3261904761904762</v>
      </c>
      <c r="P244" s="687">
        <f>+SUM(P245,P248,P251)</f>
        <v>1540000000</v>
      </c>
      <c r="Q244" s="687">
        <f>+SUM(Q245,Q248,Q251)</f>
        <v>68500000</v>
      </c>
      <c r="R244" s="536">
        <f>+Q244/P244</f>
        <v>4.4480519480519481E-2</v>
      </c>
      <c r="S244" s="505"/>
      <c r="T244" s="507"/>
      <c r="U244" s="508"/>
      <c r="V244" s="509"/>
    </row>
    <row r="245" spans="1:22" outlineLevel="2">
      <c r="A245" s="512" t="s">
        <v>408</v>
      </c>
      <c r="B245" s="513"/>
      <c r="C245" s="550"/>
      <c r="D245" s="550"/>
      <c r="E245" s="540">
        <f>+E247*$K$247</f>
        <v>1</v>
      </c>
      <c r="F245" s="618"/>
      <c r="G245" s="540"/>
      <c r="H245" s="550"/>
      <c r="I245" s="667"/>
      <c r="J245" s="540">
        <f>+J247*$L$247</f>
        <v>0.25</v>
      </c>
      <c r="K245" s="636">
        <v>0.4</v>
      </c>
      <c r="L245" s="636">
        <v>0.3</v>
      </c>
      <c r="M245" s="685">
        <f>+SUM(M246:M247)</f>
        <v>120000000</v>
      </c>
      <c r="N245" s="685">
        <f>+SUM(N246:N247)</f>
        <v>0</v>
      </c>
      <c r="O245" s="673">
        <f>+N245/M245</f>
        <v>0</v>
      </c>
      <c r="P245" s="685">
        <f>+SUM(P246:P247)</f>
        <v>510000000</v>
      </c>
      <c r="Q245" s="685">
        <f>+SUM(Q246:Q247)</f>
        <v>0</v>
      </c>
      <c r="R245" s="673">
        <f>+Q245/P245</f>
        <v>0</v>
      </c>
      <c r="S245" s="487"/>
      <c r="T245" s="475"/>
      <c r="U245" s="476"/>
      <c r="V245" s="477"/>
    </row>
    <row r="246" spans="1:22" ht="25.5" outlineLevel="3">
      <c r="A246" s="342" t="s">
        <v>409</v>
      </c>
      <c r="B246" s="353"/>
      <c r="C246" s="547"/>
      <c r="D246" s="547"/>
      <c r="E246" s="547"/>
      <c r="F246" s="604"/>
      <c r="G246" s="534"/>
      <c r="H246" s="547"/>
      <c r="I246" s="664"/>
      <c r="J246" s="541"/>
      <c r="K246" s="637"/>
      <c r="L246" s="637"/>
      <c r="M246" s="685">
        <v>120000000</v>
      </c>
      <c r="N246" s="685">
        <v>0</v>
      </c>
      <c r="O246" s="673">
        <f>+N246/M246</f>
        <v>0</v>
      </c>
      <c r="P246" s="348">
        <v>510000000</v>
      </c>
      <c r="Q246" s="685">
        <v>0</v>
      </c>
      <c r="R246" s="673">
        <f>+Q246/P246</f>
        <v>0</v>
      </c>
      <c r="S246" s="349"/>
      <c r="T246" s="473"/>
      <c r="U246" s="472"/>
      <c r="V246" s="474"/>
    </row>
    <row r="247" spans="1:22" ht="105" customHeight="1" outlineLevel="3">
      <c r="A247" s="342" t="s">
        <v>410</v>
      </c>
      <c r="B247" s="353" t="s">
        <v>156</v>
      </c>
      <c r="C247" s="547">
        <v>1</v>
      </c>
      <c r="D247" s="567">
        <v>1</v>
      </c>
      <c r="E247" s="530">
        <f>+D247/C247</f>
        <v>1</v>
      </c>
      <c r="F247" s="604" t="s">
        <v>411</v>
      </c>
      <c r="G247" s="534"/>
      <c r="H247" s="547">
        <v>4</v>
      </c>
      <c r="I247" s="664">
        <f>D247</f>
        <v>1</v>
      </c>
      <c r="J247" s="637">
        <f>+I247/H247</f>
        <v>0.25</v>
      </c>
      <c r="K247" s="637">
        <v>1</v>
      </c>
      <c r="L247" s="637">
        <v>1</v>
      </c>
      <c r="M247" s="685"/>
      <c r="N247" s="685"/>
      <c r="O247" s="677"/>
      <c r="P247" s="348"/>
      <c r="Q247" s="685"/>
      <c r="R247" s="677"/>
      <c r="S247" s="349"/>
      <c r="T247" s="473"/>
      <c r="U247" s="472"/>
      <c r="V247" s="474"/>
    </row>
    <row r="248" spans="1:22" outlineLevel="2">
      <c r="A248" s="511" t="s">
        <v>412</v>
      </c>
      <c r="B248" s="514"/>
      <c r="C248" s="554"/>
      <c r="D248" s="554"/>
      <c r="E248" s="540">
        <f>+E250*$K$250</f>
        <v>1</v>
      </c>
      <c r="F248" s="620"/>
      <c r="G248" s="540"/>
      <c r="H248" s="554"/>
      <c r="I248" s="665"/>
      <c r="J248" s="540">
        <f>+J250*$L$250</f>
        <v>0.25</v>
      </c>
      <c r="K248" s="638">
        <v>0.6</v>
      </c>
      <c r="L248" s="638">
        <v>0.4</v>
      </c>
      <c r="M248" s="685">
        <f>+SUM(M249:M250)</f>
        <v>90000000</v>
      </c>
      <c r="N248" s="685">
        <f>+SUM(N249:N250)</f>
        <v>68500000</v>
      </c>
      <c r="O248" s="673">
        <f>+N248/M248</f>
        <v>0.76111111111111107</v>
      </c>
      <c r="P248" s="685">
        <f>+SUM(P249:P250)</f>
        <v>630000000</v>
      </c>
      <c r="Q248" s="685">
        <f>+SUM(Q249:Q250)</f>
        <v>68500000</v>
      </c>
      <c r="R248" s="673">
        <f>+Q248/P248</f>
        <v>0.10873015873015873</v>
      </c>
      <c r="S248" s="349"/>
      <c r="T248" s="473"/>
      <c r="U248" s="472"/>
      <c r="V248" s="474"/>
    </row>
    <row r="249" spans="1:22" ht="42.75" customHeight="1" outlineLevel="3">
      <c r="A249" s="342" t="s">
        <v>413</v>
      </c>
      <c r="B249" s="353"/>
      <c r="C249" s="547"/>
      <c r="D249" s="547"/>
      <c r="E249" s="547"/>
      <c r="F249" s="604"/>
      <c r="G249" s="534"/>
      <c r="H249" s="547"/>
      <c r="I249" s="664"/>
      <c r="J249" s="541"/>
      <c r="K249" s="637"/>
      <c r="L249" s="637"/>
      <c r="M249" s="685">
        <v>90000000</v>
      </c>
      <c r="N249" s="685">
        <v>68500000</v>
      </c>
      <c r="O249" s="673">
        <f>+N249/M249</f>
        <v>0.76111111111111107</v>
      </c>
      <c r="P249" s="348">
        <v>630000000</v>
      </c>
      <c r="Q249" s="685">
        <v>68500000</v>
      </c>
      <c r="R249" s="673">
        <f>+Q249/P249</f>
        <v>0.10873015873015873</v>
      </c>
      <c r="S249" s="349"/>
      <c r="T249" s="473"/>
      <c r="U249" s="472"/>
      <c r="V249" s="474"/>
    </row>
    <row r="250" spans="1:22" ht="81.75" customHeight="1" outlineLevel="3">
      <c r="A250" s="342" t="s">
        <v>410</v>
      </c>
      <c r="B250" s="353" t="s">
        <v>156</v>
      </c>
      <c r="C250" s="547">
        <v>1</v>
      </c>
      <c r="D250" s="567">
        <v>1</v>
      </c>
      <c r="E250" s="530">
        <f>+D250/C250</f>
        <v>1</v>
      </c>
      <c r="F250" s="604" t="s">
        <v>414</v>
      </c>
      <c r="G250" s="534"/>
      <c r="H250" s="547">
        <v>4</v>
      </c>
      <c r="I250" s="664">
        <f>D250</f>
        <v>1</v>
      </c>
      <c r="J250" s="637">
        <f>+I250/H250</f>
        <v>0.25</v>
      </c>
      <c r="K250" s="637">
        <v>1</v>
      </c>
      <c r="L250" s="637">
        <v>1</v>
      </c>
      <c r="M250" s="685"/>
      <c r="N250" s="685"/>
      <c r="O250" s="677"/>
      <c r="P250" s="348"/>
      <c r="Q250" s="685"/>
      <c r="R250" s="677"/>
      <c r="S250" s="349"/>
      <c r="T250" s="473"/>
      <c r="U250" s="472"/>
      <c r="V250" s="474"/>
    </row>
    <row r="251" spans="1:22" outlineLevel="2">
      <c r="A251" s="511" t="s">
        <v>415</v>
      </c>
      <c r="B251" s="514"/>
      <c r="C251" s="554"/>
      <c r="D251" s="554"/>
      <c r="E251" s="540">
        <f>+E253*$K$253</f>
        <v>0</v>
      </c>
      <c r="F251" s="620"/>
      <c r="G251" s="540"/>
      <c r="H251" s="554"/>
      <c r="I251" s="665"/>
      <c r="J251" s="540">
        <f>+J253*$L$253</f>
        <v>0</v>
      </c>
      <c r="K251" s="638">
        <v>0</v>
      </c>
      <c r="L251" s="638">
        <v>0.3</v>
      </c>
      <c r="M251" s="685">
        <f>+SUM(M252:M253)</f>
        <v>0</v>
      </c>
      <c r="N251" s="685">
        <f>+SUM(N252:N253)</f>
        <v>0</v>
      </c>
      <c r="O251" s="673"/>
      <c r="P251" s="685">
        <f>+SUM(P252:P253)</f>
        <v>400000000</v>
      </c>
      <c r="Q251" s="685">
        <f>+SUM(Q252:Q253)</f>
        <v>0</v>
      </c>
      <c r="R251" s="673">
        <f>+Q251/P251</f>
        <v>0</v>
      </c>
      <c r="S251" s="349"/>
      <c r="T251" s="473"/>
      <c r="U251" s="472"/>
      <c r="V251" s="474"/>
    </row>
    <row r="252" spans="1:22" outlineLevel="3">
      <c r="A252" s="342" t="s">
        <v>416</v>
      </c>
      <c r="B252" s="353"/>
      <c r="C252" s="547"/>
      <c r="D252" s="547"/>
      <c r="E252" s="547"/>
      <c r="F252" s="604"/>
      <c r="G252" s="534"/>
      <c r="H252" s="547"/>
      <c r="I252" s="664"/>
      <c r="J252" s="541"/>
      <c r="K252" s="637"/>
      <c r="L252" s="637"/>
      <c r="M252" s="685">
        <v>0</v>
      </c>
      <c r="N252" s="685">
        <v>0</v>
      </c>
      <c r="O252" s="677"/>
      <c r="P252" s="348">
        <v>400000000</v>
      </c>
      <c r="Q252" s="685">
        <v>0</v>
      </c>
      <c r="R252" s="673">
        <f>+Q252/P252</f>
        <v>0</v>
      </c>
      <c r="S252" s="349"/>
      <c r="T252" s="473"/>
      <c r="U252" s="472"/>
      <c r="V252" s="474"/>
    </row>
    <row r="253" spans="1:22" ht="13.5" outlineLevel="3" thickBot="1">
      <c r="A253" s="488" t="s">
        <v>417</v>
      </c>
      <c r="B253" s="353" t="s">
        <v>285</v>
      </c>
      <c r="C253" s="547">
        <v>0</v>
      </c>
      <c r="D253" s="547">
        <v>0</v>
      </c>
      <c r="E253" s="528">
        <v>0</v>
      </c>
      <c r="F253" s="604"/>
      <c r="G253" s="534"/>
      <c r="H253" s="547">
        <v>2</v>
      </c>
      <c r="I253" s="664">
        <f>D253</f>
        <v>0</v>
      </c>
      <c r="J253" s="541">
        <f>+I253/H253</f>
        <v>0</v>
      </c>
      <c r="K253" s="637">
        <v>0</v>
      </c>
      <c r="L253" s="637">
        <v>1</v>
      </c>
      <c r="M253" s="685"/>
      <c r="N253" s="685"/>
      <c r="O253" s="677"/>
      <c r="P253" s="348"/>
      <c r="Q253" s="685"/>
      <c r="R253" s="677"/>
      <c r="S253" s="349"/>
      <c r="T253" s="484"/>
      <c r="U253" s="485"/>
      <c r="V253" s="486"/>
    </row>
    <row r="254" spans="1:22" ht="13.5" outlineLevel="1" thickBot="1">
      <c r="A254" s="504" t="s">
        <v>418</v>
      </c>
      <c r="B254" s="510"/>
      <c r="C254" s="548"/>
      <c r="D254" s="548"/>
      <c r="E254" s="549">
        <f>+E255*$K$255+E260*$K$260+E263*$K$263+E266*$K$266</f>
        <v>0.45</v>
      </c>
      <c r="F254" s="617"/>
      <c r="G254" s="549"/>
      <c r="H254" s="548"/>
      <c r="I254" s="666"/>
      <c r="J254" s="549">
        <f>+J255*$L$255+J260*$L$260+J263*$L$263+J266*$L$266</f>
        <v>0.16000000000000003</v>
      </c>
      <c r="K254" s="635">
        <v>0.14000000000000001</v>
      </c>
      <c r="L254" s="635">
        <v>0.1</v>
      </c>
      <c r="M254" s="687">
        <f>+SUM(M255,M260,M263,M266)</f>
        <v>620000000</v>
      </c>
      <c r="N254" s="687">
        <f>+SUM(N255,N260,N263,N266)</f>
        <v>519650000</v>
      </c>
      <c r="O254" s="536">
        <f>+N254/M254</f>
        <v>0.83814516129032257</v>
      </c>
      <c r="P254" s="687">
        <f>+SUM(P255,P260,P263,P266)</f>
        <v>3900000000</v>
      </c>
      <c r="Q254" s="687">
        <f>+SUM(Q255,Q260,Q263,Q266)</f>
        <v>519650000</v>
      </c>
      <c r="R254" s="536">
        <f>+Q254/P254</f>
        <v>0.13324358974358974</v>
      </c>
      <c r="S254" s="505"/>
      <c r="T254" s="507"/>
      <c r="U254" s="508"/>
      <c r="V254" s="509"/>
    </row>
    <row r="255" spans="1:22" outlineLevel="2">
      <c r="A255" s="512" t="s">
        <v>419</v>
      </c>
      <c r="B255" s="513"/>
      <c r="C255" s="550"/>
      <c r="D255" s="550"/>
      <c r="E255" s="540">
        <f>+E257*$K$257+E259*$K$259</f>
        <v>1</v>
      </c>
      <c r="F255" s="618"/>
      <c r="G255" s="540"/>
      <c r="H255" s="550"/>
      <c r="I255" s="667"/>
      <c r="J255" s="540">
        <f>+J257*$L$257+J259*$L$259</f>
        <v>0.4</v>
      </c>
      <c r="K255" s="636">
        <v>0.45</v>
      </c>
      <c r="L255" s="636">
        <v>0.4</v>
      </c>
      <c r="M255" s="685">
        <f>+SUM(M256:M259)</f>
        <v>170000000</v>
      </c>
      <c r="N255" s="685">
        <f>+SUM(N256:N259)</f>
        <v>143950000</v>
      </c>
      <c r="O255" s="673">
        <f>+N255/M255</f>
        <v>0.84676470588235297</v>
      </c>
      <c r="P255" s="685">
        <f>+SUM(P256:P259)</f>
        <v>1800000000</v>
      </c>
      <c r="Q255" s="685">
        <f>+SUM(Q256:Q259)</f>
        <v>143950000</v>
      </c>
      <c r="R255" s="673">
        <f>+Q255/P255</f>
        <v>7.9972222222222222E-2</v>
      </c>
      <c r="S255" s="487"/>
      <c r="T255" s="475"/>
      <c r="U255" s="476"/>
      <c r="V255" s="477"/>
    </row>
    <row r="256" spans="1:22" ht="33" customHeight="1" outlineLevel="3">
      <c r="A256" s="342" t="s">
        <v>420</v>
      </c>
      <c r="B256" s="353"/>
      <c r="C256" s="547"/>
      <c r="D256" s="547"/>
      <c r="E256" s="547"/>
      <c r="F256" s="604"/>
      <c r="G256" s="534"/>
      <c r="H256" s="547"/>
      <c r="I256" s="664"/>
      <c r="J256" s="541"/>
      <c r="K256" s="637"/>
      <c r="L256" s="637"/>
      <c r="M256" s="685">
        <v>170000000</v>
      </c>
      <c r="N256" s="685">
        <v>143950000</v>
      </c>
      <c r="O256" s="673">
        <f>+N256/M256</f>
        <v>0.84676470588235297</v>
      </c>
      <c r="P256" s="348">
        <v>800000000</v>
      </c>
      <c r="Q256" s="685">
        <v>143950000</v>
      </c>
      <c r="R256" s="673">
        <f>+Q256/P256</f>
        <v>0.1799375</v>
      </c>
      <c r="S256" s="349"/>
      <c r="T256" s="473"/>
      <c r="U256" s="472"/>
      <c r="V256" s="474"/>
    </row>
    <row r="257" spans="1:22" ht="78" customHeight="1" outlineLevel="3">
      <c r="A257" s="342" t="s">
        <v>421</v>
      </c>
      <c r="B257" s="353" t="s">
        <v>187</v>
      </c>
      <c r="C257" s="547">
        <v>23</v>
      </c>
      <c r="D257" s="547">
        <v>23</v>
      </c>
      <c r="E257" s="693">
        <f>+D257/C257</f>
        <v>1</v>
      </c>
      <c r="F257" s="604" t="s">
        <v>422</v>
      </c>
      <c r="G257" s="534"/>
      <c r="H257" s="547">
        <v>23</v>
      </c>
      <c r="I257" s="664">
        <f>D257</f>
        <v>23</v>
      </c>
      <c r="J257" s="541">
        <f>+I257/H257</f>
        <v>1</v>
      </c>
      <c r="K257" s="637">
        <v>1</v>
      </c>
      <c r="L257" s="637">
        <v>0.4</v>
      </c>
      <c r="M257" s="685"/>
      <c r="N257" s="685"/>
      <c r="O257" s="677"/>
      <c r="P257" s="348"/>
      <c r="Q257" s="685"/>
      <c r="R257" s="677"/>
      <c r="S257" s="349"/>
      <c r="T257" s="473"/>
      <c r="U257" s="472"/>
      <c r="V257" s="474"/>
    </row>
    <row r="258" spans="1:22" outlineLevel="3">
      <c r="A258" s="342" t="s">
        <v>423</v>
      </c>
      <c r="B258" s="353"/>
      <c r="C258" s="547"/>
      <c r="D258" s="547"/>
      <c r="E258" s="547"/>
      <c r="F258" s="604"/>
      <c r="G258" s="534"/>
      <c r="H258" s="547"/>
      <c r="I258" s="664"/>
      <c r="J258" s="541"/>
      <c r="K258" s="637"/>
      <c r="L258" s="637"/>
      <c r="M258" s="685">
        <v>0</v>
      </c>
      <c r="N258" s="685">
        <v>0</v>
      </c>
      <c r="O258" s="677"/>
      <c r="P258" s="348">
        <v>1000000000</v>
      </c>
      <c r="Q258" s="685">
        <v>0</v>
      </c>
      <c r="R258" s="673">
        <f>+Q258/P258</f>
        <v>0</v>
      </c>
      <c r="S258" s="349"/>
      <c r="T258" s="473"/>
      <c r="U258" s="472"/>
      <c r="V258" s="474"/>
    </row>
    <row r="259" spans="1:22" outlineLevel="3">
      <c r="A259" s="342" t="s">
        <v>424</v>
      </c>
      <c r="B259" s="353" t="s">
        <v>170</v>
      </c>
      <c r="C259" s="547">
        <v>0</v>
      </c>
      <c r="D259" s="547">
        <v>0</v>
      </c>
      <c r="E259" s="528">
        <v>0</v>
      </c>
      <c r="F259" s="604"/>
      <c r="G259" s="534"/>
      <c r="H259" s="547">
        <v>1</v>
      </c>
      <c r="I259" s="664">
        <f>D259</f>
        <v>0</v>
      </c>
      <c r="J259" s="541">
        <f>+I259/H259</f>
        <v>0</v>
      </c>
      <c r="K259" s="637">
        <v>0</v>
      </c>
      <c r="L259" s="637">
        <v>0.6</v>
      </c>
      <c r="M259" s="685"/>
      <c r="N259" s="685"/>
      <c r="O259" s="677"/>
      <c r="P259" s="348"/>
      <c r="Q259" s="685"/>
      <c r="R259" s="677"/>
      <c r="S259" s="349"/>
      <c r="T259" s="473"/>
      <c r="U259" s="472"/>
      <c r="V259" s="474"/>
    </row>
    <row r="260" spans="1:22" outlineLevel="2">
      <c r="A260" s="511" t="s">
        <v>425</v>
      </c>
      <c r="B260" s="514"/>
      <c r="C260" s="554"/>
      <c r="D260" s="554"/>
      <c r="E260" s="540">
        <f>+E262*$K$262</f>
        <v>0</v>
      </c>
      <c r="F260" s="620"/>
      <c r="G260" s="540"/>
      <c r="H260" s="554"/>
      <c r="I260" s="665"/>
      <c r="J260" s="540">
        <f>+J262*$L$262</f>
        <v>0</v>
      </c>
      <c r="K260" s="638">
        <v>0.2</v>
      </c>
      <c r="L260" s="638">
        <v>0.15</v>
      </c>
      <c r="M260" s="685">
        <f>+SUM(M261:M262)</f>
        <v>100000000</v>
      </c>
      <c r="N260" s="685">
        <f>+SUM(N261:N262)</f>
        <v>25700000</v>
      </c>
      <c r="O260" s="673">
        <f>+N260/M260</f>
        <v>0.25700000000000001</v>
      </c>
      <c r="P260" s="685">
        <f>+SUM(P261:P262)</f>
        <v>400000000</v>
      </c>
      <c r="Q260" s="685">
        <f>+SUM(Q261:Q262)</f>
        <v>25700000</v>
      </c>
      <c r="R260" s="673">
        <f>+Q260/P260</f>
        <v>6.4250000000000002E-2</v>
      </c>
      <c r="S260" s="349"/>
      <c r="T260" s="473"/>
      <c r="U260" s="472"/>
      <c r="V260" s="474"/>
    </row>
    <row r="261" spans="1:22" ht="25.5" outlineLevel="3">
      <c r="A261" s="342" t="s">
        <v>426</v>
      </c>
      <c r="B261" s="353"/>
      <c r="C261" s="547"/>
      <c r="D261" s="547"/>
      <c r="E261" s="547"/>
      <c r="F261" s="604"/>
      <c r="G261" s="534"/>
      <c r="H261" s="547"/>
      <c r="I261" s="664"/>
      <c r="J261" s="541"/>
      <c r="K261" s="637"/>
      <c r="L261" s="637"/>
      <c r="M261" s="685">
        <v>100000000</v>
      </c>
      <c r="N261" s="685">
        <v>25700000</v>
      </c>
      <c r="O261" s="673">
        <f>+N261/M261</f>
        <v>0.25700000000000001</v>
      </c>
      <c r="P261" s="348">
        <v>400000000</v>
      </c>
      <c r="Q261" s="685">
        <v>25700000</v>
      </c>
      <c r="R261" s="673">
        <f>+Q261/P261</f>
        <v>6.4250000000000002E-2</v>
      </c>
      <c r="S261" s="349"/>
      <c r="T261" s="473"/>
      <c r="U261" s="472"/>
      <c r="V261" s="474"/>
    </row>
    <row r="262" spans="1:22" ht="64.5" customHeight="1" outlineLevel="3">
      <c r="A262" s="342" t="s">
        <v>427</v>
      </c>
      <c r="B262" s="353" t="s">
        <v>428</v>
      </c>
      <c r="C262" s="567">
        <v>24</v>
      </c>
      <c r="D262" s="547">
        <v>0</v>
      </c>
      <c r="E262" s="530">
        <f>+D262/C262</f>
        <v>0</v>
      </c>
      <c r="F262" s="604" t="s">
        <v>429</v>
      </c>
      <c r="G262" s="534"/>
      <c r="H262" s="547">
        <v>24</v>
      </c>
      <c r="I262" s="664">
        <f>D262</f>
        <v>0</v>
      </c>
      <c r="J262" s="541">
        <f>+I262/H262</f>
        <v>0</v>
      </c>
      <c r="K262" s="637">
        <v>1</v>
      </c>
      <c r="L262" s="637">
        <v>1</v>
      </c>
      <c r="M262" s="685"/>
      <c r="N262" s="685"/>
      <c r="O262" s="677"/>
      <c r="P262" s="348"/>
      <c r="Q262" s="685"/>
      <c r="R262" s="677"/>
      <c r="S262" s="349"/>
      <c r="T262" s="473"/>
      <c r="U262" s="472"/>
      <c r="V262" s="474"/>
    </row>
    <row r="263" spans="1:22" outlineLevel="2">
      <c r="A263" s="511" t="s">
        <v>430</v>
      </c>
      <c r="B263" s="514"/>
      <c r="C263" s="554"/>
      <c r="D263" s="554"/>
      <c r="E263" s="540">
        <f>+E265*$K$265</f>
        <v>0</v>
      </c>
      <c r="F263" s="620"/>
      <c r="G263" s="540"/>
      <c r="H263" s="554"/>
      <c r="I263" s="665"/>
      <c r="J263" s="540">
        <f>+J265*$L$265</f>
        <v>0</v>
      </c>
      <c r="K263" s="638">
        <v>0.35</v>
      </c>
      <c r="L263" s="638">
        <v>0.3</v>
      </c>
      <c r="M263" s="685">
        <f>+SUM(M264:M265)</f>
        <v>350000000</v>
      </c>
      <c r="N263" s="685">
        <f>+SUM(N264:N265)</f>
        <v>350000000</v>
      </c>
      <c r="O263" s="673">
        <f>+N263/M263</f>
        <v>1</v>
      </c>
      <c r="P263" s="685">
        <f>+SUM(P264:P265)</f>
        <v>1200000000</v>
      </c>
      <c r="Q263" s="685">
        <f>+SUM(Q264:Q265)</f>
        <v>350000000</v>
      </c>
      <c r="R263" s="673">
        <f>+Q263/P263</f>
        <v>0.29166666666666669</v>
      </c>
      <c r="S263" s="349"/>
      <c r="T263" s="473"/>
      <c r="U263" s="472"/>
      <c r="V263" s="474"/>
    </row>
    <row r="264" spans="1:22" ht="25.5" outlineLevel="3">
      <c r="A264" s="342" t="s">
        <v>431</v>
      </c>
      <c r="B264" s="353"/>
      <c r="C264" s="547"/>
      <c r="D264" s="547"/>
      <c r="E264" s="547"/>
      <c r="F264" s="604"/>
      <c r="G264" s="534"/>
      <c r="H264" s="547"/>
      <c r="I264" s="664"/>
      <c r="J264" s="541"/>
      <c r="K264" s="637"/>
      <c r="L264" s="637"/>
      <c r="M264" s="685">
        <v>350000000</v>
      </c>
      <c r="N264" s="685">
        <v>350000000</v>
      </c>
      <c r="O264" s="673">
        <f>+N264/M264</f>
        <v>1</v>
      </c>
      <c r="P264" s="348">
        <v>1200000000</v>
      </c>
      <c r="Q264" s="685">
        <v>350000000</v>
      </c>
      <c r="R264" s="673">
        <f>+Q264/P264</f>
        <v>0.29166666666666669</v>
      </c>
      <c r="S264" s="349"/>
      <c r="T264" s="473"/>
      <c r="U264" s="472"/>
      <c r="V264" s="474"/>
    </row>
    <row r="265" spans="1:22" ht="44.25" customHeight="1" outlineLevel="3">
      <c r="A265" s="342" t="s">
        <v>432</v>
      </c>
      <c r="B265" s="353" t="s">
        <v>433</v>
      </c>
      <c r="C265" s="547">
        <v>1</v>
      </c>
      <c r="D265" s="547">
        <v>0</v>
      </c>
      <c r="E265" s="530">
        <f>+D265/C265</f>
        <v>0</v>
      </c>
      <c r="F265" s="604" t="s">
        <v>434</v>
      </c>
      <c r="G265" s="534"/>
      <c r="H265" s="547">
        <v>3</v>
      </c>
      <c r="I265" s="664">
        <f>D265</f>
        <v>0</v>
      </c>
      <c r="J265" s="541">
        <f>+I265/H265</f>
        <v>0</v>
      </c>
      <c r="K265" s="637">
        <v>1</v>
      </c>
      <c r="L265" s="637">
        <v>1</v>
      </c>
      <c r="M265" s="685"/>
      <c r="N265" s="685"/>
      <c r="O265" s="677"/>
      <c r="P265" s="348"/>
      <c r="Q265" s="685"/>
      <c r="R265" s="677"/>
      <c r="S265" s="349"/>
      <c r="T265" s="473"/>
      <c r="U265" s="472"/>
      <c r="V265" s="474"/>
    </row>
    <row r="266" spans="1:22" outlineLevel="2">
      <c r="A266" s="511" t="s">
        <v>435</v>
      </c>
      <c r="B266" s="514"/>
      <c r="C266" s="554"/>
      <c r="D266" s="554"/>
      <c r="E266" s="540">
        <f>+E268*$K$268</f>
        <v>0</v>
      </c>
      <c r="F266" s="620"/>
      <c r="G266" s="540"/>
      <c r="H266" s="563"/>
      <c r="I266" s="665"/>
      <c r="J266" s="540">
        <f>+J268*$L$268</f>
        <v>0</v>
      </c>
      <c r="K266" s="638">
        <v>0</v>
      </c>
      <c r="L266" s="638">
        <v>0.15</v>
      </c>
      <c r="M266" s="685">
        <f>+SUM(M267:M268)</f>
        <v>0</v>
      </c>
      <c r="N266" s="685">
        <f>+SUM(N267:N268)</f>
        <v>0</v>
      </c>
      <c r="O266" s="673"/>
      <c r="P266" s="685">
        <f>+SUM(P267:P268)</f>
        <v>500000000</v>
      </c>
      <c r="Q266" s="685">
        <f>+SUM(Q267:Q268)</f>
        <v>0</v>
      </c>
      <c r="R266" s="673">
        <f>+Q266/P266</f>
        <v>0</v>
      </c>
      <c r="S266" s="349"/>
      <c r="T266" s="473"/>
      <c r="U266" s="472"/>
      <c r="V266" s="474"/>
    </row>
    <row r="267" spans="1:22" ht="25.5" outlineLevel="3">
      <c r="A267" s="342" t="s">
        <v>436</v>
      </c>
      <c r="B267" s="353"/>
      <c r="C267" s="547"/>
      <c r="D267" s="547"/>
      <c r="E267" s="547"/>
      <c r="F267" s="604"/>
      <c r="G267" s="534"/>
      <c r="H267" s="547"/>
      <c r="I267" s="664"/>
      <c r="J267" s="541"/>
      <c r="K267" s="637"/>
      <c r="L267" s="637"/>
      <c r="M267" s="685">
        <v>0</v>
      </c>
      <c r="N267" s="685">
        <v>0</v>
      </c>
      <c r="O267" s="677"/>
      <c r="P267" s="348">
        <v>500000000</v>
      </c>
      <c r="Q267" s="685">
        <v>0</v>
      </c>
      <c r="R267" s="673">
        <f>+Q267/P267</f>
        <v>0</v>
      </c>
      <c r="S267" s="349"/>
      <c r="T267" s="473"/>
      <c r="U267" s="472"/>
      <c r="V267" s="474"/>
    </row>
    <row r="268" spans="1:22" ht="13.5" outlineLevel="3" thickBot="1">
      <c r="A268" s="488" t="s">
        <v>437</v>
      </c>
      <c r="B268" s="353" t="s">
        <v>243</v>
      </c>
      <c r="C268" s="547">
        <v>0</v>
      </c>
      <c r="D268" s="547">
        <v>0</v>
      </c>
      <c r="E268" s="528">
        <v>0</v>
      </c>
      <c r="F268" s="604"/>
      <c r="G268" s="534"/>
      <c r="H268" s="547">
        <v>2</v>
      </c>
      <c r="I268" s="664">
        <f>D268</f>
        <v>0</v>
      </c>
      <c r="J268" s="541">
        <f>+I268/H268</f>
        <v>0</v>
      </c>
      <c r="K268" s="637">
        <v>0</v>
      </c>
      <c r="L268" s="637">
        <v>1</v>
      </c>
      <c r="M268" s="685"/>
      <c r="N268" s="685"/>
      <c r="O268" s="677"/>
      <c r="P268" s="348"/>
      <c r="Q268" s="685"/>
      <c r="R268" s="677"/>
      <c r="S268" s="349"/>
      <c r="T268" s="484"/>
      <c r="U268" s="485"/>
      <c r="V268" s="486"/>
    </row>
    <row r="269" spans="1:22" ht="13.5" outlineLevel="1" thickBot="1">
      <c r="A269" s="504" t="s">
        <v>438</v>
      </c>
      <c r="B269" s="510"/>
      <c r="C269" s="548"/>
      <c r="D269" s="548"/>
      <c r="E269" s="549">
        <f>+E270*$K$270+E285*$K$285+E288*$K$288+E296*$K$296</f>
        <v>0.86874999999999991</v>
      </c>
      <c r="F269" s="617"/>
      <c r="G269" s="549"/>
      <c r="H269" s="548"/>
      <c r="I269" s="666"/>
      <c r="J269" s="549">
        <f>+J270*$L$270+J285*$L$285+J288*$L$288+J296*$L$296</f>
        <v>0.22839285714285718</v>
      </c>
      <c r="K269" s="635">
        <v>0.24</v>
      </c>
      <c r="L269" s="635">
        <v>0.2</v>
      </c>
      <c r="M269" s="687">
        <f>+SUM(M270,M285,M296,M288)</f>
        <v>645000000</v>
      </c>
      <c r="N269" s="687">
        <f>+SUM(N270,N285,N296,N288)</f>
        <v>244410750</v>
      </c>
      <c r="O269" s="536">
        <f>+N269/M269</f>
        <v>0.37893139534883719</v>
      </c>
      <c r="P269" s="687">
        <f>+SUM(P270,P285,P296,P288)</f>
        <v>7290000000</v>
      </c>
      <c r="Q269" s="687">
        <f>+SUM(Q270,Q285,Q296,Q288)</f>
        <v>244410750</v>
      </c>
      <c r="R269" s="536">
        <f>+Q269/P269</f>
        <v>3.3526851851851849E-2</v>
      </c>
      <c r="S269" s="505"/>
      <c r="T269" s="507"/>
      <c r="U269" s="508"/>
      <c r="V269" s="509"/>
    </row>
    <row r="270" spans="1:22" outlineLevel="2">
      <c r="A270" s="512" t="s">
        <v>439</v>
      </c>
      <c r="B270" s="513"/>
      <c r="C270" s="550"/>
      <c r="D270" s="550"/>
      <c r="E270" s="551">
        <f>+E272*$K$272+E274*$K$274+E276*$K$276+E278*$K$278+E280*$K$280+E282*$K$282+E284*$K$284</f>
        <v>0.77500000000000002</v>
      </c>
      <c r="F270" s="618"/>
      <c r="G270" s="551"/>
      <c r="H270" s="550"/>
      <c r="I270" s="667"/>
      <c r="J270" s="551">
        <f>+J272*$L$272+J274*$L$274+J276*$L$276+J278*$L$278+J280*$L$280+J282*$L$282+J284*$L$284</f>
        <v>0.37500000000000006</v>
      </c>
      <c r="K270" s="636">
        <v>0.45</v>
      </c>
      <c r="L270" s="636">
        <v>0.45</v>
      </c>
      <c r="M270" s="685">
        <f>+SUM(M271:M284)</f>
        <v>465000000</v>
      </c>
      <c r="N270" s="685">
        <f>+SUM(N271:N284)</f>
        <v>117660750</v>
      </c>
      <c r="O270" s="673">
        <f>+N270/M270</f>
        <v>0.25303387096774194</v>
      </c>
      <c r="P270" s="685">
        <f>+SUM(P271:P284)</f>
        <v>3445000000</v>
      </c>
      <c r="Q270" s="685">
        <f>+SUM(Q271:Q284)</f>
        <v>117660750</v>
      </c>
      <c r="R270" s="673">
        <f>+Q270/P270</f>
        <v>3.4154063860667633E-2</v>
      </c>
      <c r="S270" s="487"/>
      <c r="T270" s="475"/>
      <c r="U270" s="476"/>
      <c r="V270" s="477"/>
    </row>
    <row r="271" spans="1:22" ht="25.5" outlineLevel="3">
      <c r="A271" s="342" t="s">
        <v>440</v>
      </c>
      <c r="B271" s="353"/>
      <c r="C271" s="547"/>
      <c r="D271" s="547"/>
      <c r="E271" s="547"/>
      <c r="F271" s="604"/>
      <c r="G271" s="534"/>
      <c r="H271" s="547"/>
      <c r="I271" s="664"/>
      <c r="J271" s="541"/>
      <c r="K271" s="637"/>
      <c r="L271" s="637"/>
      <c r="M271" s="685">
        <v>340000000</v>
      </c>
      <c r="N271" s="685">
        <v>0</v>
      </c>
      <c r="O271" s="673">
        <f>+N271/M271</f>
        <v>0</v>
      </c>
      <c r="P271" s="348">
        <v>1520000000</v>
      </c>
      <c r="Q271" s="685">
        <v>0</v>
      </c>
      <c r="R271" s="673">
        <f>+Q271/P271</f>
        <v>0</v>
      </c>
      <c r="S271" s="349"/>
      <c r="T271" s="473"/>
      <c r="U271" s="472"/>
      <c r="V271" s="474"/>
    </row>
    <row r="272" spans="1:22" ht="63.75" outlineLevel="3">
      <c r="A272" s="342" t="s">
        <v>441</v>
      </c>
      <c r="B272" s="353" t="s">
        <v>442</v>
      </c>
      <c r="C272" s="547">
        <v>8</v>
      </c>
      <c r="D272" s="547">
        <v>6</v>
      </c>
      <c r="E272" s="530">
        <f>+D272/C272</f>
        <v>0.75</v>
      </c>
      <c r="F272" s="604" t="s">
        <v>443</v>
      </c>
      <c r="G272" s="534"/>
      <c r="H272" s="547">
        <v>8</v>
      </c>
      <c r="I272" s="664">
        <f>D272</f>
        <v>6</v>
      </c>
      <c r="J272" s="541">
        <f>+I272/H272</f>
        <v>0.75</v>
      </c>
      <c r="K272" s="637">
        <v>0.5</v>
      </c>
      <c r="L272" s="637">
        <v>0.4</v>
      </c>
      <c r="M272" s="685"/>
      <c r="N272" s="685"/>
      <c r="O272" s="677"/>
      <c r="P272" s="348"/>
      <c r="Q272" s="685"/>
      <c r="R272" s="677"/>
      <c r="S272" s="349"/>
      <c r="T272" s="473"/>
      <c r="U272" s="472"/>
      <c r="V272" s="474"/>
    </row>
    <row r="273" spans="1:22" ht="25.5" outlineLevel="3">
      <c r="A273" s="342" t="s">
        <v>444</v>
      </c>
      <c r="B273" s="353"/>
      <c r="C273" s="547"/>
      <c r="D273" s="547"/>
      <c r="E273" s="547"/>
      <c r="F273" s="604"/>
      <c r="G273" s="534"/>
      <c r="H273" s="547"/>
      <c r="I273" s="664"/>
      <c r="J273" s="541"/>
      <c r="K273" s="637"/>
      <c r="L273" s="637"/>
      <c r="M273" s="685">
        <v>0</v>
      </c>
      <c r="N273" s="685">
        <v>0</v>
      </c>
      <c r="O273" s="677"/>
      <c r="P273" s="348">
        <v>120000000</v>
      </c>
      <c r="Q273" s="685">
        <v>0</v>
      </c>
      <c r="R273" s="673">
        <f>+Q273/P273</f>
        <v>0</v>
      </c>
      <c r="S273" s="349"/>
      <c r="T273" s="473"/>
      <c r="U273" s="472"/>
      <c r="V273" s="474"/>
    </row>
    <row r="274" spans="1:22" outlineLevel="3">
      <c r="A274" s="342" t="s">
        <v>445</v>
      </c>
      <c r="B274" s="353" t="s">
        <v>446</v>
      </c>
      <c r="C274" s="547">
        <v>0</v>
      </c>
      <c r="D274" s="547">
        <v>0</v>
      </c>
      <c r="E274" s="528">
        <v>0</v>
      </c>
      <c r="F274" s="604"/>
      <c r="G274" s="534"/>
      <c r="H274" s="547">
        <v>1</v>
      </c>
      <c r="I274" s="664">
        <f>D274</f>
        <v>0</v>
      </c>
      <c r="J274" s="541">
        <f>+I274/H274</f>
        <v>0</v>
      </c>
      <c r="K274" s="637">
        <v>0</v>
      </c>
      <c r="L274" s="637">
        <v>0.05</v>
      </c>
      <c r="M274" s="685"/>
      <c r="N274" s="685"/>
      <c r="O274" s="677"/>
      <c r="P274" s="348"/>
      <c r="Q274" s="685"/>
      <c r="R274" s="677"/>
      <c r="S274" s="349"/>
      <c r="T274" s="473"/>
      <c r="U274" s="472"/>
      <c r="V274" s="474"/>
    </row>
    <row r="275" spans="1:22" ht="25.5" outlineLevel="3">
      <c r="A275" s="342" t="s">
        <v>447</v>
      </c>
      <c r="B275" s="353"/>
      <c r="C275" s="547"/>
      <c r="D275" s="547"/>
      <c r="E275" s="547"/>
      <c r="F275" s="604"/>
      <c r="G275" s="534"/>
      <c r="H275" s="547"/>
      <c r="I275" s="664"/>
      <c r="J275" s="541"/>
      <c r="K275" s="637"/>
      <c r="L275" s="637"/>
      <c r="M275" s="685">
        <v>25000000</v>
      </c>
      <c r="N275" s="685">
        <v>18610750</v>
      </c>
      <c r="O275" s="673">
        <f>+N275/M275</f>
        <v>0.74443000000000004</v>
      </c>
      <c r="P275" s="348">
        <v>100000000</v>
      </c>
      <c r="Q275" s="685">
        <v>18610750</v>
      </c>
      <c r="R275" s="673">
        <f>+Q275/P275</f>
        <v>0.18610750000000001</v>
      </c>
      <c r="S275" s="349"/>
      <c r="T275" s="473"/>
      <c r="U275" s="472"/>
      <c r="V275" s="474"/>
    </row>
    <row r="276" spans="1:22" ht="59.25" customHeight="1" outlineLevel="3">
      <c r="A276" s="342" t="s">
        <v>448</v>
      </c>
      <c r="B276" s="353" t="s">
        <v>180</v>
      </c>
      <c r="C276" s="547">
        <v>6</v>
      </c>
      <c r="D276" s="547">
        <v>0</v>
      </c>
      <c r="E276" s="530">
        <f>+D276/C276</f>
        <v>0</v>
      </c>
      <c r="F276" s="604" t="s">
        <v>449</v>
      </c>
      <c r="G276" s="534"/>
      <c r="H276" s="547">
        <v>12</v>
      </c>
      <c r="I276" s="664">
        <f>D276</f>
        <v>0</v>
      </c>
      <c r="J276" s="541">
        <f>+I276/H276</f>
        <v>0</v>
      </c>
      <c r="K276" s="637">
        <v>0.1</v>
      </c>
      <c r="L276" s="637">
        <v>0.05</v>
      </c>
      <c r="M276" s="685"/>
      <c r="N276" s="685"/>
      <c r="O276" s="677"/>
      <c r="P276" s="348"/>
      <c r="Q276" s="685"/>
      <c r="R276" s="677"/>
      <c r="S276" s="349"/>
      <c r="T276" s="473"/>
      <c r="U276" s="472"/>
      <c r="V276" s="474"/>
    </row>
    <row r="277" spans="1:22" ht="36" customHeight="1" outlineLevel="3">
      <c r="A277" s="342" t="s">
        <v>450</v>
      </c>
      <c r="B277" s="353"/>
      <c r="C277" s="547"/>
      <c r="D277" s="547"/>
      <c r="E277" s="547"/>
      <c r="F277" s="604"/>
      <c r="G277" s="534"/>
      <c r="H277" s="547"/>
      <c r="I277" s="664"/>
      <c r="J277" s="541"/>
      <c r="K277" s="637"/>
      <c r="L277" s="637"/>
      <c r="M277" s="685">
        <v>0</v>
      </c>
      <c r="N277" s="685">
        <v>0</v>
      </c>
      <c r="O277" s="677"/>
      <c r="P277" s="348">
        <v>185000000</v>
      </c>
      <c r="Q277" s="685">
        <v>0</v>
      </c>
      <c r="R277" s="673">
        <f>+Q277/P277</f>
        <v>0</v>
      </c>
      <c r="S277" s="349"/>
      <c r="T277" s="473"/>
      <c r="U277" s="472"/>
      <c r="V277" s="474"/>
    </row>
    <row r="278" spans="1:22" outlineLevel="3">
      <c r="A278" s="342" t="s">
        <v>451</v>
      </c>
      <c r="B278" s="353" t="s">
        <v>452</v>
      </c>
      <c r="C278" s="547">
        <v>0</v>
      </c>
      <c r="D278" s="547">
        <v>0</v>
      </c>
      <c r="E278" s="528">
        <v>0</v>
      </c>
      <c r="F278" s="604"/>
      <c r="G278" s="534"/>
      <c r="H278" s="547">
        <v>2</v>
      </c>
      <c r="I278" s="664">
        <f>D278</f>
        <v>0</v>
      </c>
      <c r="J278" s="541">
        <f>+I278/H278</f>
        <v>0</v>
      </c>
      <c r="K278" s="637">
        <v>0</v>
      </c>
      <c r="L278" s="637">
        <v>0.05</v>
      </c>
      <c r="M278" s="685"/>
      <c r="N278" s="685"/>
      <c r="O278" s="677"/>
      <c r="P278" s="348"/>
      <c r="Q278" s="685"/>
      <c r="R278" s="677"/>
      <c r="S278" s="349"/>
      <c r="T278" s="473"/>
      <c r="U278" s="472"/>
      <c r="V278" s="474"/>
    </row>
    <row r="279" spans="1:22" ht="25.5" outlineLevel="3">
      <c r="A279" s="342" t="s">
        <v>453</v>
      </c>
      <c r="B279" s="353"/>
      <c r="C279" s="547"/>
      <c r="D279" s="547"/>
      <c r="E279" s="547"/>
      <c r="F279" s="604"/>
      <c r="G279" s="534"/>
      <c r="H279" s="547"/>
      <c r="I279" s="664"/>
      <c r="J279" s="541"/>
      <c r="K279" s="637"/>
      <c r="L279" s="637"/>
      <c r="M279" s="685">
        <v>100000000</v>
      </c>
      <c r="N279" s="685">
        <v>99050000</v>
      </c>
      <c r="O279" s="673">
        <f>+N279/M279</f>
        <v>0.99050000000000005</v>
      </c>
      <c r="P279" s="348">
        <v>1000000000</v>
      </c>
      <c r="Q279" s="685">
        <v>99050000</v>
      </c>
      <c r="R279" s="673">
        <f>+Q279/P279</f>
        <v>9.9049999999999999E-2</v>
      </c>
      <c r="S279" s="349"/>
      <c r="T279" s="473"/>
      <c r="U279" s="472"/>
      <c r="V279" s="474"/>
    </row>
    <row r="280" spans="1:22" ht="63.75" outlineLevel="3">
      <c r="A280" s="342" t="s">
        <v>454</v>
      </c>
      <c r="B280" s="353" t="s">
        <v>92</v>
      </c>
      <c r="C280" s="556">
        <v>1</v>
      </c>
      <c r="D280" s="556">
        <v>1</v>
      </c>
      <c r="E280" s="541">
        <f>+D280/C280</f>
        <v>1</v>
      </c>
      <c r="F280" s="604" t="s">
        <v>455</v>
      </c>
      <c r="G280" s="534"/>
      <c r="H280" s="556">
        <v>1</v>
      </c>
      <c r="I280" s="558">
        <f>D280*0.25</f>
        <v>0.25</v>
      </c>
      <c r="J280" s="541">
        <f>+I280/H280</f>
        <v>0.25</v>
      </c>
      <c r="K280" s="637">
        <v>0.4</v>
      </c>
      <c r="L280" s="637">
        <v>0.3</v>
      </c>
      <c r="M280" s="685"/>
      <c r="N280" s="685"/>
      <c r="O280" s="677"/>
      <c r="P280" s="348"/>
      <c r="Q280" s="685"/>
      <c r="R280" s="677"/>
      <c r="S280" s="349"/>
      <c r="T280" s="473"/>
      <c r="U280" s="472"/>
      <c r="V280" s="474"/>
    </row>
    <row r="281" spans="1:22" ht="25.5" outlineLevel="3">
      <c r="A281" s="342" t="s">
        <v>456</v>
      </c>
      <c r="B281" s="353"/>
      <c r="C281" s="547"/>
      <c r="D281" s="547"/>
      <c r="E281" s="547"/>
      <c r="F281" s="604"/>
      <c r="G281" s="534"/>
      <c r="H281" s="547"/>
      <c r="I281" s="664"/>
      <c r="J281" s="541"/>
      <c r="K281" s="637"/>
      <c r="L281" s="637"/>
      <c r="M281" s="685">
        <v>0</v>
      </c>
      <c r="N281" s="685">
        <v>0</v>
      </c>
      <c r="O281" s="677"/>
      <c r="P281" s="348">
        <v>400000000</v>
      </c>
      <c r="Q281" s="685">
        <v>0</v>
      </c>
      <c r="R281" s="673">
        <f>+Q281/P281</f>
        <v>0</v>
      </c>
      <c r="S281" s="349"/>
      <c r="T281" s="473"/>
      <c r="U281" s="472"/>
      <c r="V281" s="474"/>
    </row>
    <row r="282" spans="1:22" outlineLevel="3">
      <c r="A282" s="342" t="s">
        <v>457</v>
      </c>
      <c r="B282" s="353" t="s">
        <v>285</v>
      </c>
      <c r="C282" s="547">
        <v>0</v>
      </c>
      <c r="D282" s="547">
        <v>0</v>
      </c>
      <c r="E282" s="528">
        <v>0</v>
      </c>
      <c r="F282" s="604"/>
      <c r="G282" s="534"/>
      <c r="H282" s="547">
        <v>1</v>
      </c>
      <c r="I282" s="664">
        <f>D282</f>
        <v>0</v>
      </c>
      <c r="J282" s="541">
        <f>+I282/H282</f>
        <v>0</v>
      </c>
      <c r="K282" s="637">
        <v>0</v>
      </c>
      <c r="L282" s="637">
        <v>0.1</v>
      </c>
      <c r="M282" s="685"/>
      <c r="N282" s="685"/>
      <c r="O282" s="677"/>
      <c r="P282" s="348"/>
      <c r="Q282" s="685"/>
      <c r="R282" s="677"/>
      <c r="S282" s="349"/>
      <c r="T282" s="473"/>
      <c r="U282" s="472"/>
      <c r="V282" s="474"/>
    </row>
    <row r="283" spans="1:22" ht="25.5" outlineLevel="3">
      <c r="A283" s="342" t="s">
        <v>458</v>
      </c>
      <c r="B283" s="353"/>
      <c r="C283" s="547"/>
      <c r="D283" s="547"/>
      <c r="E283" s="547"/>
      <c r="F283" s="604"/>
      <c r="G283" s="534"/>
      <c r="H283" s="547"/>
      <c r="I283" s="664"/>
      <c r="J283" s="541"/>
      <c r="K283" s="637"/>
      <c r="L283" s="637"/>
      <c r="M283" s="685">
        <v>0</v>
      </c>
      <c r="N283" s="685">
        <v>0</v>
      </c>
      <c r="O283" s="677"/>
      <c r="P283" s="348">
        <v>120000000</v>
      </c>
      <c r="Q283" s="685">
        <v>0</v>
      </c>
      <c r="R283" s="673">
        <f>+Q283/P283</f>
        <v>0</v>
      </c>
      <c r="S283" s="349"/>
      <c r="T283" s="473"/>
      <c r="U283" s="472"/>
      <c r="V283" s="474"/>
    </row>
    <row r="284" spans="1:22" outlineLevel="3">
      <c r="A284" s="342" t="s">
        <v>459</v>
      </c>
      <c r="B284" s="353" t="s">
        <v>170</v>
      </c>
      <c r="C284" s="547">
        <v>0</v>
      </c>
      <c r="D284" s="547">
        <v>0</v>
      </c>
      <c r="E284" s="528">
        <v>0</v>
      </c>
      <c r="F284" s="604"/>
      <c r="G284" s="534"/>
      <c r="H284" s="547">
        <v>1</v>
      </c>
      <c r="I284" s="664">
        <f>D284</f>
        <v>0</v>
      </c>
      <c r="J284" s="541">
        <f>+I284/H284</f>
        <v>0</v>
      </c>
      <c r="K284" s="637">
        <v>0</v>
      </c>
      <c r="L284" s="637">
        <v>0.05</v>
      </c>
      <c r="M284" s="685"/>
      <c r="N284" s="685"/>
      <c r="O284" s="677"/>
      <c r="P284" s="348"/>
      <c r="Q284" s="685"/>
      <c r="R284" s="677"/>
      <c r="S284" s="349"/>
      <c r="T284" s="473"/>
      <c r="U284" s="472"/>
      <c r="V284" s="474"/>
    </row>
    <row r="285" spans="1:22" outlineLevel="2">
      <c r="A285" s="511" t="s">
        <v>460</v>
      </c>
      <c r="B285" s="514"/>
      <c r="C285" s="554"/>
      <c r="D285" s="554"/>
      <c r="E285" s="551">
        <f>+E287*$K$287</f>
        <v>1</v>
      </c>
      <c r="F285" s="620"/>
      <c r="G285" s="551"/>
      <c r="H285" s="554"/>
      <c r="I285" s="665"/>
      <c r="J285" s="551">
        <f>+J287*$L$287</f>
        <v>0.14285714285714285</v>
      </c>
      <c r="K285" s="638">
        <v>0.05</v>
      </c>
      <c r="L285" s="638">
        <v>0.05</v>
      </c>
      <c r="M285" s="685">
        <f>+SUM(M286:M287)</f>
        <v>20000000</v>
      </c>
      <c r="N285" s="685">
        <f>+SUM(N286:N287)</f>
        <v>10500000</v>
      </c>
      <c r="O285" s="673">
        <f>+N285/M285</f>
        <v>0.52500000000000002</v>
      </c>
      <c r="P285" s="685">
        <f>+SUM(P286:P287)</f>
        <v>140000000</v>
      </c>
      <c r="Q285" s="685">
        <f>+SUM(Q286:Q287)</f>
        <v>10500000</v>
      </c>
      <c r="R285" s="673">
        <f>+Q285/P285</f>
        <v>7.4999999999999997E-2</v>
      </c>
      <c r="S285" s="349"/>
      <c r="T285" s="473"/>
      <c r="U285" s="472"/>
      <c r="V285" s="474"/>
    </row>
    <row r="286" spans="1:22" outlineLevel="3">
      <c r="A286" s="342" t="s">
        <v>461</v>
      </c>
      <c r="B286" s="353"/>
      <c r="C286" s="547"/>
      <c r="D286" s="547"/>
      <c r="E286" s="547"/>
      <c r="F286" s="604"/>
      <c r="G286" s="534"/>
      <c r="H286" s="547"/>
      <c r="I286" s="664"/>
      <c r="J286" s="541"/>
      <c r="K286" s="637"/>
      <c r="L286" s="637"/>
      <c r="M286" s="685">
        <v>20000000</v>
      </c>
      <c r="N286" s="685">
        <v>10500000</v>
      </c>
      <c r="O286" s="673">
        <f>+N286/M286</f>
        <v>0.52500000000000002</v>
      </c>
      <c r="P286" s="348">
        <v>140000000</v>
      </c>
      <c r="Q286" s="685">
        <v>10500000</v>
      </c>
      <c r="R286" s="673">
        <f>+Q286/P286</f>
        <v>7.4999999999999997E-2</v>
      </c>
      <c r="S286" s="349"/>
      <c r="T286" s="473"/>
      <c r="U286" s="472"/>
      <c r="V286" s="474"/>
    </row>
    <row r="287" spans="1:22" ht="45.75" customHeight="1" outlineLevel="3">
      <c r="A287" s="342" t="s">
        <v>462</v>
      </c>
      <c r="B287" s="353" t="s">
        <v>463</v>
      </c>
      <c r="C287" s="547">
        <v>1</v>
      </c>
      <c r="D287" s="547">
        <v>1</v>
      </c>
      <c r="E287" s="530">
        <f>+D287/C287</f>
        <v>1</v>
      </c>
      <c r="F287" s="604" t="s">
        <v>464</v>
      </c>
      <c r="G287" s="534"/>
      <c r="H287" s="547">
        <v>7</v>
      </c>
      <c r="I287" s="664">
        <f>D287</f>
        <v>1</v>
      </c>
      <c r="J287" s="541">
        <f>+I287/H287</f>
        <v>0.14285714285714285</v>
      </c>
      <c r="K287" s="637">
        <v>1</v>
      </c>
      <c r="L287" s="637">
        <v>1</v>
      </c>
      <c r="M287" s="685"/>
      <c r="N287" s="685"/>
      <c r="O287" s="677"/>
      <c r="P287" s="348"/>
      <c r="Q287" s="685"/>
      <c r="R287" s="677"/>
      <c r="S287" s="349"/>
      <c r="T287" s="473"/>
      <c r="U287" s="472"/>
      <c r="V287" s="474"/>
    </row>
    <row r="288" spans="1:22" outlineLevel="2">
      <c r="A288" s="511" t="s">
        <v>465</v>
      </c>
      <c r="B288" s="514"/>
      <c r="C288" s="554"/>
      <c r="D288" s="554"/>
      <c r="E288" s="551">
        <f>+E290*$K$290+E292*$K$292+E294*$K$294+E295*$K$295</f>
        <v>0.85</v>
      </c>
      <c r="F288" s="620"/>
      <c r="G288" s="551"/>
      <c r="H288" s="554"/>
      <c r="I288" s="665"/>
      <c r="J288" s="551">
        <f>+J290*$L$290+J292*$L$292+J294*$L$294+J295*$L$295</f>
        <v>3.7499999999999999E-2</v>
      </c>
      <c r="K288" s="638">
        <v>0.2</v>
      </c>
      <c r="L288" s="638">
        <v>0.2</v>
      </c>
      <c r="M288" s="685">
        <f>+SUM(M289:M295)</f>
        <v>40000000</v>
      </c>
      <c r="N288" s="685">
        <f>+SUM(N289:N295)</f>
        <v>4000000</v>
      </c>
      <c r="O288" s="673">
        <f>+N288/M288</f>
        <v>0.1</v>
      </c>
      <c r="P288" s="685">
        <f>+SUM(P289:P295)</f>
        <v>1445000000</v>
      </c>
      <c r="Q288" s="685">
        <f>+SUM(Q289:Q295)</f>
        <v>4000000</v>
      </c>
      <c r="R288" s="673">
        <f>+Q288/P288</f>
        <v>2.7681660899653978E-3</v>
      </c>
      <c r="S288" s="349"/>
      <c r="T288" s="473"/>
      <c r="U288" s="472"/>
      <c r="V288" s="474"/>
    </row>
    <row r="289" spans="1:22" ht="25.5" outlineLevel="3">
      <c r="A289" s="342" t="s">
        <v>466</v>
      </c>
      <c r="B289" s="353"/>
      <c r="C289" s="547"/>
      <c r="D289" s="547"/>
      <c r="E289" s="547"/>
      <c r="F289" s="604"/>
      <c r="G289" s="534"/>
      <c r="H289" s="547"/>
      <c r="I289" s="664"/>
      <c r="J289" s="541"/>
      <c r="K289" s="637"/>
      <c r="L289" s="637"/>
      <c r="M289" s="685">
        <v>0</v>
      </c>
      <c r="N289" s="685">
        <v>0</v>
      </c>
      <c r="O289" s="677"/>
      <c r="P289" s="348">
        <v>1120000000</v>
      </c>
      <c r="Q289" s="685">
        <v>0</v>
      </c>
      <c r="R289" s="673">
        <f>+Q289/P289</f>
        <v>0</v>
      </c>
      <c r="S289" s="349"/>
      <c r="T289" s="473"/>
      <c r="U289" s="472"/>
      <c r="V289" s="474"/>
    </row>
    <row r="290" spans="1:22" outlineLevel="3">
      <c r="A290" s="342" t="s">
        <v>467</v>
      </c>
      <c r="B290" s="353" t="s">
        <v>468</v>
      </c>
      <c r="C290" s="547">
        <v>0</v>
      </c>
      <c r="D290" s="547">
        <v>0</v>
      </c>
      <c r="E290" s="528">
        <v>0</v>
      </c>
      <c r="F290" s="604"/>
      <c r="G290" s="534"/>
      <c r="H290" s="547">
        <v>3</v>
      </c>
      <c r="I290" s="664">
        <f>D290</f>
        <v>0</v>
      </c>
      <c r="J290" s="541">
        <f>+I290/H290</f>
        <v>0</v>
      </c>
      <c r="K290" s="637">
        <v>0</v>
      </c>
      <c r="L290" s="637">
        <v>0.7</v>
      </c>
      <c r="M290" s="685"/>
      <c r="N290" s="685"/>
      <c r="O290" s="677"/>
      <c r="P290" s="348"/>
      <c r="Q290" s="685"/>
      <c r="R290" s="677"/>
      <c r="S290" s="349"/>
      <c r="T290" s="473"/>
      <c r="U290" s="472"/>
      <c r="V290" s="474"/>
    </row>
    <row r="291" spans="1:22" ht="25.5" outlineLevel="3">
      <c r="A291" s="342" t="s">
        <v>469</v>
      </c>
      <c r="B291" s="353"/>
      <c r="C291" s="547"/>
      <c r="D291" s="547"/>
      <c r="E291" s="547"/>
      <c r="F291" s="604"/>
      <c r="G291" s="534"/>
      <c r="H291" s="547"/>
      <c r="I291" s="664"/>
      <c r="J291" s="541"/>
      <c r="K291" s="637"/>
      <c r="L291" s="637"/>
      <c r="M291" s="685">
        <v>20000000</v>
      </c>
      <c r="N291" s="685">
        <v>4000000</v>
      </c>
      <c r="O291" s="673">
        <f>+N291/M291</f>
        <v>0.2</v>
      </c>
      <c r="P291" s="348">
        <v>140000000</v>
      </c>
      <c r="Q291" s="685">
        <v>4000000</v>
      </c>
      <c r="R291" s="673">
        <f>+Q291/P291</f>
        <v>2.8571428571428571E-2</v>
      </c>
      <c r="S291" s="349"/>
      <c r="T291" s="473"/>
      <c r="U291" s="472"/>
      <c r="V291" s="474"/>
    </row>
    <row r="292" spans="1:22" ht="76.5" outlineLevel="3">
      <c r="A292" s="342" t="s">
        <v>470</v>
      </c>
      <c r="B292" s="353" t="s">
        <v>92</v>
      </c>
      <c r="C292" s="556">
        <v>1</v>
      </c>
      <c r="D292" s="556">
        <v>1</v>
      </c>
      <c r="E292" s="530">
        <f>+D292/C292</f>
        <v>1</v>
      </c>
      <c r="F292" s="604" t="s">
        <v>471</v>
      </c>
      <c r="G292" s="534"/>
      <c r="H292" s="556">
        <v>1</v>
      </c>
      <c r="I292" s="558">
        <f>D292*0.25</f>
        <v>0.25</v>
      </c>
      <c r="J292" s="541">
        <f>+I292/H292</f>
        <v>0.25</v>
      </c>
      <c r="K292" s="637">
        <v>0.85</v>
      </c>
      <c r="L292" s="637">
        <v>0.15</v>
      </c>
      <c r="M292" s="685"/>
      <c r="N292" s="685"/>
      <c r="O292" s="677"/>
      <c r="P292" s="348"/>
      <c r="Q292" s="685"/>
      <c r="R292" s="677"/>
      <c r="S292" s="349"/>
      <c r="T292" s="473"/>
      <c r="U292" s="472"/>
      <c r="V292" s="474"/>
    </row>
    <row r="293" spans="1:22" ht="25.5" outlineLevel="3">
      <c r="A293" s="342" t="s">
        <v>472</v>
      </c>
      <c r="B293" s="353"/>
      <c r="C293" s="547"/>
      <c r="D293" s="547"/>
      <c r="E293" s="547"/>
      <c r="F293" s="604"/>
      <c r="G293" s="534"/>
      <c r="H293" s="547"/>
      <c r="I293" s="664"/>
      <c r="J293" s="541"/>
      <c r="K293" s="637"/>
      <c r="L293" s="637"/>
      <c r="M293" s="685">
        <v>20000000</v>
      </c>
      <c r="N293" s="685">
        <v>0</v>
      </c>
      <c r="O293" s="673">
        <f>+N293/M293</f>
        <v>0</v>
      </c>
      <c r="P293" s="771">
        <v>185000000</v>
      </c>
      <c r="Q293" s="685">
        <v>0</v>
      </c>
      <c r="R293" s="673">
        <f>+Q293/P293</f>
        <v>0</v>
      </c>
      <c r="S293" s="349"/>
      <c r="T293" s="473"/>
      <c r="U293" s="472"/>
      <c r="V293" s="474"/>
    </row>
    <row r="294" spans="1:22" outlineLevel="3">
      <c r="A294" s="342" t="s">
        <v>473</v>
      </c>
      <c r="B294" s="353" t="s">
        <v>120</v>
      </c>
      <c r="C294" s="547">
        <v>0</v>
      </c>
      <c r="D294" s="547">
        <v>0</v>
      </c>
      <c r="E294" s="528">
        <v>0</v>
      </c>
      <c r="F294" s="604"/>
      <c r="G294" s="534"/>
      <c r="H294" s="547">
        <v>2</v>
      </c>
      <c r="I294" s="664">
        <f>D294</f>
        <v>0</v>
      </c>
      <c r="J294" s="541">
        <f>+I294/H294</f>
        <v>0</v>
      </c>
      <c r="K294" s="637">
        <v>0</v>
      </c>
      <c r="L294" s="637">
        <v>7.4999999999999997E-2</v>
      </c>
      <c r="M294" s="685"/>
      <c r="N294" s="685"/>
      <c r="O294" s="677"/>
      <c r="P294" s="348"/>
      <c r="Q294" s="685"/>
      <c r="R294" s="677"/>
      <c r="S294" s="349"/>
      <c r="T294" s="473"/>
      <c r="U294" s="472"/>
      <c r="V294" s="474"/>
    </row>
    <row r="295" spans="1:22" ht="76.5" outlineLevel="3">
      <c r="A295" s="342" t="s">
        <v>474</v>
      </c>
      <c r="B295" s="353" t="s">
        <v>120</v>
      </c>
      <c r="C295" s="547">
        <v>2</v>
      </c>
      <c r="D295" s="547">
        <v>0</v>
      </c>
      <c r="E295" s="530">
        <f>+D295/C295</f>
        <v>0</v>
      </c>
      <c r="F295" s="604" t="s">
        <v>475</v>
      </c>
      <c r="G295" s="534"/>
      <c r="H295" s="547">
        <v>4</v>
      </c>
      <c r="I295" s="664">
        <f>D295</f>
        <v>0</v>
      </c>
      <c r="J295" s="541">
        <f>+I295/H295</f>
        <v>0</v>
      </c>
      <c r="K295" s="637">
        <v>0.15</v>
      </c>
      <c r="L295" s="637">
        <v>7.4999999999999997E-2</v>
      </c>
      <c r="M295" s="685"/>
      <c r="N295" s="685"/>
      <c r="O295" s="677"/>
      <c r="P295" s="348"/>
      <c r="Q295" s="685"/>
      <c r="R295" s="677"/>
      <c r="S295" s="349"/>
      <c r="T295" s="473"/>
      <c r="U295" s="472"/>
      <c r="V295" s="474"/>
    </row>
    <row r="296" spans="1:22" outlineLevel="2">
      <c r="A296" s="511" t="s">
        <v>476</v>
      </c>
      <c r="B296" s="514"/>
      <c r="C296" s="554"/>
      <c r="D296" s="554"/>
      <c r="E296" s="551">
        <f>+E298*$K$298+E300*$K$300+E302*$K$302+E304*$K$304+E306*$K$306+E308*$K$308</f>
        <v>1</v>
      </c>
      <c r="F296" s="620"/>
      <c r="G296" s="551"/>
      <c r="H296" s="554"/>
      <c r="I296" s="665"/>
      <c r="J296" s="551">
        <f>+J298*$L$298+J300*$L$300+J302*$L$302+J304*$L$304+J306*$L$306+J308*$L$308</f>
        <v>0.15</v>
      </c>
      <c r="K296" s="638">
        <v>0.3</v>
      </c>
      <c r="L296" s="638">
        <v>0.3</v>
      </c>
      <c r="M296" s="685">
        <f>+SUM(M297:M308)</f>
        <v>120000000</v>
      </c>
      <c r="N296" s="685">
        <f>+SUM(N297:N308)</f>
        <v>112250000</v>
      </c>
      <c r="O296" s="673">
        <f>+N296/M296</f>
        <v>0.93541666666666667</v>
      </c>
      <c r="P296" s="685">
        <f>+SUM(P297:P308)</f>
        <v>2260000000</v>
      </c>
      <c r="Q296" s="685">
        <f>+SUM(Q297:Q308)</f>
        <v>112250000</v>
      </c>
      <c r="R296" s="673">
        <f>+Q296/P296</f>
        <v>4.9668141592920351E-2</v>
      </c>
      <c r="S296" s="349"/>
      <c r="T296" s="473"/>
      <c r="U296" s="472"/>
      <c r="V296" s="474"/>
    </row>
    <row r="297" spans="1:22" ht="25.5" outlineLevel="3">
      <c r="A297" s="342" t="s">
        <v>477</v>
      </c>
      <c r="B297" s="353"/>
      <c r="C297" s="547"/>
      <c r="D297" s="547"/>
      <c r="E297" s="547"/>
      <c r="F297" s="604"/>
      <c r="G297" s="534"/>
      <c r="H297" s="547"/>
      <c r="I297" s="664"/>
      <c r="J297" s="541"/>
      <c r="K297" s="637"/>
      <c r="L297" s="637"/>
      <c r="M297" s="685">
        <v>0</v>
      </c>
      <c r="N297" s="685">
        <v>0</v>
      </c>
      <c r="O297" s="677"/>
      <c r="P297" s="348">
        <v>800000000</v>
      </c>
      <c r="Q297" s="685">
        <v>0</v>
      </c>
      <c r="R297" s="673">
        <f>+Q297/P297</f>
        <v>0</v>
      </c>
      <c r="S297" s="349"/>
      <c r="T297" s="473"/>
      <c r="U297" s="472"/>
      <c r="V297" s="474"/>
    </row>
    <row r="298" spans="1:22" outlineLevel="3">
      <c r="A298" s="342" t="s">
        <v>478</v>
      </c>
      <c r="B298" s="353" t="s">
        <v>156</v>
      </c>
      <c r="C298" s="547">
        <v>0</v>
      </c>
      <c r="D298" s="547">
        <v>0</v>
      </c>
      <c r="E298" s="528">
        <v>0</v>
      </c>
      <c r="F298" s="604"/>
      <c r="G298" s="534"/>
      <c r="H298" s="547">
        <v>4</v>
      </c>
      <c r="I298" s="664">
        <f>D298</f>
        <v>0</v>
      </c>
      <c r="J298" s="541">
        <f>+I298/H298</f>
        <v>0</v>
      </c>
      <c r="K298" s="637">
        <v>0</v>
      </c>
      <c r="L298" s="637">
        <v>0.3</v>
      </c>
      <c r="M298" s="685"/>
      <c r="N298" s="685"/>
      <c r="O298" s="677"/>
      <c r="P298" s="348"/>
      <c r="Q298" s="685"/>
      <c r="R298" s="677"/>
      <c r="S298" s="349"/>
      <c r="T298" s="473"/>
      <c r="U298" s="472"/>
      <c r="V298" s="474"/>
    </row>
    <row r="299" spans="1:22" ht="25.5" outlineLevel="3">
      <c r="A299" s="342" t="s">
        <v>479</v>
      </c>
      <c r="B299" s="353"/>
      <c r="C299" s="547"/>
      <c r="D299" s="547"/>
      <c r="E299" s="547"/>
      <c r="F299" s="604"/>
      <c r="G299" s="534"/>
      <c r="H299" s="547"/>
      <c r="I299" s="664"/>
      <c r="J299" s="541"/>
      <c r="K299" s="637"/>
      <c r="L299" s="637"/>
      <c r="M299" s="685">
        <v>40000000</v>
      </c>
      <c r="N299" s="685">
        <v>40000000</v>
      </c>
      <c r="O299" s="673">
        <f>+N299/M299</f>
        <v>1</v>
      </c>
      <c r="P299" s="771">
        <v>186666666</v>
      </c>
      <c r="Q299" s="685">
        <v>40000000</v>
      </c>
      <c r="R299" s="673">
        <f>+Q299/P299</f>
        <v>0.2142857150510204</v>
      </c>
      <c r="S299" s="349"/>
      <c r="T299" s="473"/>
      <c r="U299" s="472"/>
      <c r="V299" s="474"/>
    </row>
    <row r="300" spans="1:22" ht="87" customHeight="1" outlineLevel="3">
      <c r="A300" s="342" t="s">
        <v>480</v>
      </c>
      <c r="B300" s="353" t="s">
        <v>187</v>
      </c>
      <c r="C300" s="547">
        <v>23</v>
      </c>
      <c r="D300" s="547">
        <v>23</v>
      </c>
      <c r="E300" s="530">
        <f>+D300/C300</f>
        <v>1</v>
      </c>
      <c r="F300" s="604" t="s">
        <v>481</v>
      </c>
      <c r="G300" s="534"/>
      <c r="H300" s="547">
        <v>23</v>
      </c>
      <c r="I300" s="664">
        <f>D300</f>
        <v>23</v>
      </c>
      <c r="J300" s="541">
        <f>+I300/H300</f>
        <v>1</v>
      </c>
      <c r="K300" s="637">
        <v>0.34</v>
      </c>
      <c r="L300" s="637">
        <v>0.1</v>
      </c>
      <c r="M300" s="685"/>
      <c r="N300" s="685"/>
      <c r="O300" s="677"/>
      <c r="P300" s="348"/>
      <c r="Q300" s="685"/>
      <c r="R300" s="677"/>
      <c r="S300" s="349"/>
      <c r="T300" s="473"/>
      <c r="U300" s="472"/>
      <c r="V300" s="474"/>
    </row>
    <row r="301" spans="1:22" ht="25.5" outlineLevel="3">
      <c r="A301" s="342" t="s">
        <v>482</v>
      </c>
      <c r="B301" s="353"/>
      <c r="C301" s="547"/>
      <c r="D301" s="547"/>
      <c r="E301" s="547"/>
      <c r="F301" s="604"/>
      <c r="G301" s="534"/>
      <c r="H301" s="547"/>
      <c r="I301" s="664"/>
      <c r="J301" s="541"/>
      <c r="K301" s="637"/>
      <c r="L301" s="637"/>
      <c r="M301" s="685">
        <v>40000000</v>
      </c>
      <c r="N301" s="685">
        <v>37050000</v>
      </c>
      <c r="O301" s="673">
        <f>+N301/M301</f>
        <v>0.92625000000000002</v>
      </c>
      <c r="P301" s="771">
        <v>186666667</v>
      </c>
      <c r="Q301" s="685">
        <v>37050000</v>
      </c>
      <c r="R301" s="673">
        <f>+Q301/P301</f>
        <v>0.19848214250271046</v>
      </c>
      <c r="S301" s="349"/>
      <c r="T301" s="473"/>
      <c r="U301" s="472"/>
      <c r="V301" s="474"/>
    </row>
    <row r="302" spans="1:22" ht="45.75" customHeight="1" outlineLevel="3">
      <c r="A302" s="342" t="s">
        <v>483</v>
      </c>
      <c r="B302" s="353" t="s">
        <v>92</v>
      </c>
      <c r="C302" s="556">
        <v>1</v>
      </c>
      <c r="D302" s="556">
        <v>1</v>
      </c>
      <c r="E302" s="541">
        <f>+D302/C302</f>
        <v>1</v>
      </c>
      <c r="F302" s="604" t="s">
        <v>484</v>
      </c>
      <c r="G302" s="534"/>
      <c r="H302" s="556">
        <v>1</v>
      </c>
      <c r="I302" s="558">
        <f>D302*0.25</f>
        <v>0.25</v>
      </c>
      <c r="J302" s="541">
        <f>+I302/H302</f>
        <v>0.25</v>
      </c>
      <c r="K302" s="637">
        <v>0.33</v>
      </c>
      <c r="L302" s="637">
        <v>0.1</v>
      </c>
      <c r="M302" s="685"/>
      <c r="N302" s="685"/>
      <c r="O302" s="677"/>
      <c r="P302" s="348"/>
      <c r="Q302" s="685"/>
      <c r="R302" s="677"/>
      <c r="S302" s="349"/>
      <c r="T302" s="473"/>
      <c r="U302" s="472"/>
      <c r="V302" s="474"/>
    </row>
    <row r="303" spans="1:22" outlineLevel="3">
      <c r="A303" s="342" t="s">
        <v>485</v>
      </c>
      <c r="B303" s="353"/>
      <c r="C303" s="547"/>
      <c r="D303" s="547"/>
      <c r="E303" s="547"/>
      <c r="F303" s="604"/>
      <c r="G303" s="534"/>
      <c r="H303" s="547"/>
      <c r="I303" s="664"/>
      <c r="J303" s="541"/>
      <c r="K303" s="637"/>
      <c r="L303" s="637"/>
      <c r="M303" s="685">
        <v>40000000</v>
      </c>
      <c r="N303" s="685">
        <v>35200000</v>
      </c>
      <c r="O303" s="673">
        <f>+N303/M303</f>
        <v>0.88</v>
      </c>
      <c r="P303" s="771">
        <v>186666667</v>
      </c>
      <c r="Q303" s="685">
        <v>35200000</v>
      </c>
      <c r="R303" s="673">
        <f>+Q303/P303</f>
        <v>0.18857142823469389</v>
      </c>
      <c r="S303" s="349"/>
      <c r="T303" s="473"/>
      <c r="U303" s="472"/>
      <c r="V303" s="474"/>
    </row>
    <row r="304" spans="1:22" ht="38.25" outlineLevel="3">
      <c r="A304" s="342" t="s">
        <v>486</v>
      </c>
      <c r="B304" s="353" t="s">
        <v>92</v>
      </c>
      <c r="C304" s="556">
        <v>1</v>
      </c>
      <c r="D304" s="556">
        <v>1</v>
      </c>
      <c r="E304" s="541">
        <f>+D304/C304</f>
        <v>1</v>
      </c>
      <c r="F304" s="604" t="s">
        <v>487</v>
      </c>
      <c r="G304" s="534"/>
      <c r="H304" s="556">
        <v>1</v>
      </c>
      <c r="I304" s="558">
        <f>D304*0.25</f>
        <v>0.25</v>
      </c>
      <c r="J304" s="541">
        <f>+I304/H304</f>
        <v>0.25</v>
      </c>
      <c r="K304" s="637">
        <v>0.33</v>
      </c>
      <c r="L304" s="637">
        <v>0.1</v>
      </c>
      <c r="M304" s="685"/>
      <c r="N304" s="685"/>
      <c r="O304" s="677"/>
      <c r="P304" s="348"/>
      <c r="Q304" s="685"/>
      <c r="R304" s="677"/>
      <c r="S304" s="349"/>
      <c r="T304" s="473"/>
      <c r="U304" s="472"/>
      <c r="V304" s="474"/>
    </row>
    <row r="305" spans="1:22" ht="38.25" outlineLevel="3">
      <c r="A305" s="342" t="s">
        <v>488</v>
      </c>
      <c r="B305" s="353"/>
      <c r="C305" s="547"/>
      <c r="D305" s="547"/>
      <c r="E305" s="547"/>
      <c r="F305" s="604"/>
      <c r="G305" s="534"/>
      <c r="H305" s="547"/>
      <c r="I305" s="664"/>
      <c r="J305" s="541"/>
      <c r="K305" s="637"/>
      <c r="L305" s="637"/>
      <c r="M305" s="685">
        <v>0</v>
      </c>
      <c r="N305" s="685">
        <v>0</v>
      </c>
      <c r="O305" s="677"/>
      <c r="P305" s="348">
        <v>100000000</v>
      </c>
      <c r="Q305" s="685">
        <v>0</v>
      </c>
      <c r="R305" s="673">
        <f>+Q305/P305</f>
        <v>0</v>
      </c>
      <c r="S305" s="349"/>
      <c r="T305" s="473"/>
      <c r="U305" s="472"/>
      <c r="V305" s="474"/>
    </row>
    <row r="306" spans="1:22" outlineLevel="3">
      <c r="A306" s="342" t="s">
        <v>489</v>
      </c>
      <c r="B306" s="353" t="s">
        <v>490</v>
      </c>
      <c r="C306" s="547">
        <v>0</v>
      </c>
      <c r="D306" s="547">
        <v>0</v>
      </c>
      <c r="E306" s="528">
        <v>0</v>
      </c>
      <c r="F306" s="604"/>
      <c r="G306" s="534"/>
      <c r="H306" s="547">
        <v>1</v>
      </c>
      <c r="I306" s="664">
        <f>D306</f>
        <v>0</v>
      </c>
      <c r="J306" s="541">
        <f>+I306/H306</f>
        <v>0</v>
      </c>
      <c r="K306" s="637">
        <v>0</v>
      </c>
      <c r="L306" s="637">
        <v>0.1</v>
      </c>
      <c r="M306" s="685"/>
      <c r="N306" s="685"/>
      <c r="O306" s="677"/>
      <c r="P306" s="348"/>
      <c r="Q306" s="685"/>
      <c r="R306" s="677"/>
      <c r="S306" s="349"/>
      <c r="T306" s="473"/>
      <c r="U306" s="472"/>
      <c r="V306" s="474"/>
    </row>
    <row r="307" spans="1:22" outlineLevel="3">
      <c r="A307" s="342" t="s">
        <v>491</v>
      </c>
      <c r="B307" s="353"/>
      <c r="C307" s="547"/>
      <c r="D307" s="547"/>
      <c r="E307" s="547"/>
      <c r="F307" s="604"/>
      <c r="G307" s="534"/>
      <c r="H307" s="547"/>
      <c r="I307" s="664"/>
      <c r="J307" s="541"/>
      <c r="K307" s="637"/>
      <c r="L307" s="637"/>
      <c r="M307" s="685">
        <v>0</v>
      </c>
      <c r="N307" s="685">
        <v>0</v>
      </c>
      <c r="O307" s="677"/>
      <c r="P307" s="348">
        <v>800000000</v>
      </c>
      <c r="Q307" s="685">
        <v>0</v>
      </c>
      <c r="R307" s="673">
        <f>+Q307/P307</f>
        <v>0</v>
      </c>
      <c r="S307" s="349"/>
      <c r="T307" s="473"/>
      <c r="U307" s="472"/>
      <c r="V307" s="474"/>
    </row>
    <row r="308" spans="1:22" ht="13.5" outlineLevel="3" thickBot="1">
      <c r="A308" s="488" t="s">
        <v>492</v>
      </c>
      <c r="B308" s="353" t="s">
        <v>156</v>
      </c>
      <c r="C308" s="547">
        <v>0</v>
      </c>
      <c r="D308" s="547">
        <v>0</v>
      </c>
      <c r="E308" s="528">
        <v>0</v>
      </c>
      <c r="F308" s="604"/>
      <c r="G308" s="534"/>
      <c r="H308" s="547">
        <v>4</v>
      </c>
      <c r="I308" s="664">
        <f>D308</f>
        <v>0</v>
      </c>
      <c r="J308" s="541">
        <f>+I308/H308</f>
        <v>0</v>
      </c>
      <c r="K308" s="637">
        <v>0</v>
      </c>
      <c r="L308" s="637">
        <v>0.3</v>
      </c>
      <c r="M308" s="685"/>
      <c r="N308" s="685"/>
      <c r="O308" s="677"/>
      <c r="P308" s="348"/>
      <c r="Q308" s="685"/>
      <c r="R308" s="677"/>
      <c r="S308" s="349"/>
      <c r="T308" s="484"/>
      <c r="U308" s="485"/>
      <c r="V308" s="486"/>
    </row>
    <row r="309" spans="1:22" ht="13.5" outlineLevel="1" thickBot="1">
      <c r="A309" s="504" t="s">
        <v>493</v>
      </c>
      <c r="B309" s="510"/>
      <c r="C309" s="548"/>
      <c r="D309" s="548"/>
      <c r="E309" s="549">
        <f>+E310*$K$310+E327*$K$327</f>
        <v>0.90500000000000014</v>
      </c>
      <c r="F309" s="617"/>
      <c r="G309" s="549"/>
      <c r="H309" s="548"/>
      <c r="I309" s="666"/>
      <c r="J309" s="549">
        <f>+J310*$L$310+J327*$L$327</f>
        <v>0.14361750000000001</v>
      </c>
      <c r="K309" s="635">
        <v>0.28999999999999998</v>
      </c>
      <c r="L309" s="635">
        <v>0.25</v>
      </c>
      <c r="M309" s="687">
        <f>+SUM(M310,M327)</f>
        <v>1827719357.6800001</v>
      </c>
      <c r="N309" s="687">
        <f>+SUM(N310,N327)</f>
        <v>1771156569</v>
      </c>
      <c r="O309" s="536">
        <f>+N309/M309</f>
        <v>0.96905280428183593</v>
      </c>
      <c r="P309" s="687">
        <f>+SUM(P310,P327)</f>
        <v>7110000000</v>
      </c>
      <c r="Q309" s="687">
        <f>+SUM(Q310,Q327)</f>
        <v>1771156569</v>
      </c>
      <c r="R309" s="536">
        <f>+Q309/P309</f>
        <v>0.24910781561181436</v>
      </c>
      <c r="S309" s="505"/>
      <c r="T309" s="507"/>
      <c r="U309" s="508"/>
      <c r="V309" s="509"/>
    </row>
    <row r="310" spans="1:22" outlineLevel="2">
      <c r="A310" s="512" t="s">
        <v>494</v>
      </c>
      <c r="B310" s="513"/>
      <c r="C310" s="550"/>
      <c r="D310" s="550"/>
      <c r="E310" s="551">
        <f>+E312*$K$312+E314*$K$314+E316*$K$316+E318*$K$318+E320*$K$320+E322*$K$322+E324*$K$324+E326*$K$326</f>
        <v>0.90500000000000014</v>
      </c>
      <c r="F310" s="618"/>
      <c r="G310" s="551"/>
      <c r="H310" s="550"/>
      <c r="I310" s="667"/>
      <c r="J310" s="551">
        <f>+J312*$L$312+J314*$L$314+J316*$L$316+J318*$L$318+J320*$L$320+J322*$L$322+J324*$L$324+J326*$L$326</f>
        <v>0.15957499999999999</v>
      </c>
      <c r="K310" s="636">
        <v>1</v>
      </c>
      <c r="L310" s="636">
        <v>0.9</v>
      </c>
      <c r="M310" s="685">
        <f>+SUM(M311:M326)</f>
        <v>1827719357.6800001</v>
      </c>
      <c r="N310" s="685">
        <f>+SUM(N311:N326)</f>
        <v>1771156569</v>
      </c>
      <c r="O310" s="673">
        <f>+N310/M310</f>
        <v>0.96905280428183593</v>
      </c>
      <c r="P310" s="685">
        <f>+SUM(P311:P326)</f>
        <v>6860000000</v>
      </c>
      <c r="Q310" s="685">
        <f>+SUM(Q311:Q326)</f>
        <v>1771156569</v>
      </c>
      <c r="R310" s="673">
        <f>+Q310/P310</f>
        <v>0.25818608877551019</v>
      </c>
      <c r="S310" s="487"/>
      <c r="T310" s="480"/>
      <c r="U310" s="481"/>
      <c r="V310" s="482"/>
    </row>
    <row r="311" spans="1:22" outlineLevel="3">
      <c r="A311" s="342" t="s">
        <v>495</v>
      </c>
      <c r="B311" s="353"/>
      <c r="C311" s="547"/>
      <c r="D311" s="547"/>
      <c r="E311" s="547"/>
      <c r="F311" s="604"/>
      <c r="G311" s="534"/>
      <c r="H311" s="547"/>
      <c r="I311" s="664"/>
      <c r="J311" s="541"/>
      <c r="K311" s="637"/>
      <c r="L311" s="637"/>
      <c r="M311" s="685">
        <f>300000000+378155856.48+669563501.2</f>
        <v>1347719357.6800001</v>
      </c>
      <c r="N311" s="685">
        <f>299700000+367923631+632082938</f>
        <v>1299706569</v>
      </c>
      <c r="O311" s="673">
        <f>+N311/M311</f>
        <v>0.96437478737216442</v>
      </c>
      <c r="P311" s="348">
        <v>2450000000</v>
      </c>
      <c r="Q311" s="685">
        <f>299700000+367923631+632082938</f>
        <v>1299706569</v>
      </c>
      <c r="R311" s="673">
        <f>+Q311/P311</f>
        <v>0.53049247714285719</v>
      </c>
      <c r="S311" s="349"/>
      <c r="T311" s="484"/>
      <c r="U311" s="485"/>
      <c r="V311" s="486"/>
    </row>
    <row r="312" spans="1:22" ht="43.5" customHeight="1" outlineLevel="3">
      <c r="A312" s="342" t="s">
        <v>496</v>
      </c>
      <c r="B312" s="353" t="s">
        <v>92</v>
      </c>
      <c r="C312" s="556">
        <v>1</v>
      </c>
      <c r="D312" s="697">
        <v>0.93500000000000005</v>
      </c>
      <c r="E312" s="698">
        <f>+D312/C312</f>
        <v>0.93500000000000005</v>
      </c>
      <c r="F312" s="604" t="s">
        <v>497</v>
      </c>
      <c r="G312" s="603"/>
      <c r="H312" s="556">
        <v>1</v>
      </c>
      <c r="I312" s="558">
        <f>D312*0.25</f>
        <v>0.23375000000000001</v>
      </c>
      <c r="J312" s="541">
        <f>+I312/H312</f>
        <v>0.23375000000000001</v>
      </c>
      <c r="K312" s="637">
        <v>0.36</v>
      </c>
      <c r="L312" s="637">
        <v>0.3</v>
      </c>
      <c r="M312" s="685"/>
      <c r="N312" s="685"/>
      <c r="O312" s="677"/>
      <c r="P312" s="348"/>
      <c r="Q312" s="685"/>
      <c r="R312" s="677"/>
      <c r="S312" s="349"/>
      <c r="T312" s="484"/>
      <c r="U312" s="485"/>
      <c r="V312" s="486"/>
    </row>
    <row r="313" spans="1:22" outlineLevel="3">
      <c r="A313" s="342" t="s">
        <v>498</v>
      </c>
      <c r="B313" s="353"/>
      <c r="C313" s="547"/>
      <c r="D313" s="547"/>
      <c r="E313" s="547"/>
      <c r="F313" s="604"/>
      <c r="G313" s="603"/>
      <c r="H313" s="547"/>
      <c r="I313" s="664"/>
      <c r="J313" s="541"/>
      <c r="K313" s="637"/>
      <c r="L313" s="637"/>
      <c r="M313" s="685">
        <v>300000000</v>
      </c>
      <c r="N313" s="685">
        <v>299800000</v>
      </c>
      <c r="O313" s="673">
        <f>+N313/M313</f>
        <v>0.9993333333333333</v>
      </c>
      <c r="P313" s="771">
        <v>2450000000</v>
      </c>
      <c r="Q313" s="685">
        <v>299800000</v>
      </c>
      <c r="R313" s="673">
        <f>+Q313/P313</f>
        <v>0.1223673469387755</v>
      </c>
      <c r="S313" s="349"/>
      <c r="T313" s="484"/>
      <c r="U313" s="485"/>
      <c r="V313" s="486"/>
    </row>
    <row r="314" spans="1:22" ht="63.75" outlineLevel="3">
      <c r="A314" s="342" t="s">
        <v>499</v>
      </c>
      <c r="B314" s="353" t="s">
        <v>92</v>
      </c>
      <c r="C314" s="556">
        <v>1</v>
      </c>
      <c r="D314" s="541">
        <v>0.85</v>
      </c>
      <c r="E314" s="530">
        <f>+D314/C314</f>
        <v>0.85</v>
      </c>
      <c r="F314" s="604" t="s">
        <v>500</v>
      </c>
      <c r="G314" s="603"/>
      <c r="H314" s="556">
        <v>1</v>
      </c>
      <c r="I314" s="558">
        <f>D314*0.25</f>
        <v>0.21249999999999999</v>
      </c>
      <c r="J314" s="541">
        <f>+I314/H314</f>
        <v>0.21249999999999999</v>
      </c>
      <c r="K314" s="637">
        <v>0.16</v>
      </c>
      <c r="L314" s="637">
        <v>0.1</v>
      </c>
      <c r="M314" s="685"/>
      <c r="N314" s="685"/>
      <c r="O314" s="677"/>
      <c r="P314" s="348"/>
      <c r="Q314" s="685"/>
      <c r="R314" s="677"/>
      <c r="S314" s="349"/>
      <c r="T314" s="484"/>
      <c r="U314" s="485"/>
      <c r="V314" s="486"/>
    </row>
    <row r="315" spans="1:22" outlineLevel="3">
      <c r="A315" s="342" t="s">
        <v>501</v>
      </c>
      <c r="B315" s="353"/>
      <c r="C315" s="547"/>
      <c r="D315" s="547"/>
      <c r="E315" s="547"/>
      <c r="F315" s="604"/>
      <c r="G315" s="603"/>
      <c r="H315" s="547"/>
      <c r="I315" s="664"/>
      <c r="J315" s="541"/>
      <c r="K315" s="637"/>
      <c r="L315" s="637"/>
      <c r="M315" s="685">
        <v>60000000</v>
      </c>
      <c r="N315" s="685">
        <v>55450000</v>
      </c>
      <c r="O315" s="673">
        <f>+N315/M315</f>
        <v>0.92416666666666669</v>
      </c>
      <c r="P315" s="348">
        <v>240000000</v>
      </c>
      <c r="Q315" s="685">
        <v>55450000</v>
      </c>
      <c r="R315" s="673">
        <f>+Q315/P315</f>
        <v>0.23104166666666667</v>
      </c>
      <c r="S315" s="349"/>
      <c r="T315" s="484"/>
      <c r="U315" s="485"/>
      <c r="V315" s="486"/>
    </row>
    <row r="316" spans="1:22" ht="39" customHeight="1" outlineLevel="3">
      <c r="A316" s="342" t="s">
        <v>502</v>
      </c>
      <c r="B316" s="353" t="s">
        <v>92</v>
      </c>
      <c r="C316" s="556">
        <v>1</v>
      </c>
      <c r="D316" s="556">
        <v>0.66</v>
      </c>
      <c r="E316" s="530">
        <f>+D316/C316</f>
        <v>0.66</v>
      </c>
      <c r="F316" s="604" t="s">
        <v>503</v>
      </c>
      <c r="G316" s="603"/>
      <c r="H316" s="556">
        <v>1</v>
      </c>
      <c r="I316" s="558">
        <f>D316*0.25</f>
        <v>0.16500000000000001</v>
      </c>
      <c r="J316" s="541">
        <f>+I316/H316</f>
        <v>0.16500000000000001</v>
      </c>
      <c r="K316" s="637">
        <v>0.14000000000000001</v>
      </c>
      <c r="L316" s="637">
        <v>0.08</v>
      </c>
      <c r="M316" s="685"/>
      <c r="N316" s="685"/>
      <c r="O316" s="677"/>
      <c r="P316" s="348"/>
      <c r="Q316" s="685"/>
      <c r="R316" s="677"/>
      <c r="S316" s="349"/>
      <c r="T316" s="484"/>
      <c r="U316" s="485"/>
      <c r="V316" s="486"/>
    </row>
    <row r="317" spans="1:22" ht="25.5" outlineLevel="3">
      <c r="A317" s="342" t="s">
        <v>504</v>
      </c>
      <c r="B317" s="353"/>
      <c r="C317" s="547"/>
      <c r="D317" s="547"/>
      <c r="E317" s="547"/>
      <c r="F317" s="604"/>
      <c r="G317" s="534"/>
      <c r="H317" s="547"/>
      <c r="I317" s="664"/>
      <c r="J317" s="541"/>
      <c r="K317" s="637"/>
      <c r="L317" s="637"/>
      <c r="M317" s="685">
        <v>0</v>
      </c>
      <c r="N317" s="685">
        <v>0</v>
      </c>
      <c r="O317" s="677"/>
      <c r="P317" s="348">
        <v>250000000</v>
      </c>
      <c r="Q317" s="685">
        <v>0</v>
      </c>
      <c r="R317" s="673">
        <f>+Q317/P317</f>
        <v>0</v>
      </c>
      <c r="S317" s="349"/>
      <c r="T317" s="484"/>
      <c r="U317" s="485"/>
      <c r="V317" s="486"/>
    </row>
    <row r="318" spans="1:22" outlineLevel="3">
      <c r="A318" s="342" t="s">
        <v>505</v>
      </c>
      <c r="B318" s="353" t="s">
        <v>285</v>
      </c>
      <c r="C318" s="547">
        <v>0</v>
      </c>
      <c r="D318" s="547">
        <v>0</v>
      </c>
      <c r="E318" s="528">
        <v>0</v>
      </c>
      <c r="F318" s="604"/>
      <c r="G318" s="534"/>
      <c r="H318" s="547">
        <v>1</v>
      </c>
      <c r="I318" s="664">
        <f>D318</f>
        <v>0</v>
      </c>
      <c r="J318" s="541">
        <f>+I318/H318</f>
        <v>0</v>
      </c>
      <c r="K318" s="637">
        <v>0</v>
      </c>
      <c r="L318" s="637">
        <v>0.1</v>
      </c>
      <c r="M318" s="685"/>
      <c r="N318" s="685"/>
      <c r="O318" s="677"/>
      <c r="P318" s="348"/>
      <c r="Q318" s="685"/>
      <c r="R318" s="677"/>
      <c r="S318" s="349"/>
      <c r="T318" s="484"/>
      <c r="U318" s="485"/>
      <c r="V318" s="486"/>
    </row>
    <row r="319" spans="1:22" ht="25.5" outlineLevel="3">
      <c r="A319" s="342" t="s">
        <v>506</v>
      </c>
      <c r="B319" s="353"/>
      <c r="C319" s="547"/>
      <c r="D319" s="547"/>
      <c r="E319" s="547"/>
      <c r="F319" s="604"/>
      <c r="G319" s="534"/>
      <c r="H319" s="547"/>
      <c r="I319" s="664"/>
      <c r="J319" s="541"/>
      <c r="K319" s="637"/>
      <c r="L319" s="637"/>
      <c r="M319" s="685">
        <v>0</v>
      </c>
      <c r="N319" s="685">
        <v>0</v>
      </c>
      <c r="O319" s="677"/>
      <c r="P319" s="348">
        <v>200000000</v>
      </c>
      <c r="Q319" s="685">
        <v>0</v>
      </c>
      <c r="R319" s="673">
        <f>+Q319/P319</f>
        <v>0</v>
      </c>
      <c r="S319" s="349"/>
      <c r="T319" s="484"/>
      <c r="U319" s="485"/>
      <c r="V319" s="486"/>
    </row>
    <row r="320" spans="1:22" outlineLevel="3">
      <c r="A320" s="342" t="s">
        <v>507</v>
      </c>
      <c r="B320" s="353" t="s">
        <v>92</v>
      </c>
      <c r="C320" s="556">
        <v>0</v>
      </c>
      <c r="D320" s="547">
        <v>0</v>
      </c>
      <c r="E320" s="528">
        <v>0</v>
      </c>
      <c r="F320" s="604"/>
      <c r="G320" s="534"/>
      <c r="H320" s="556">
        <v>1</v>
      </c>
      <c r="I320" s="558">
        <f>D320</f>
        <v>0</v>
      </c>
      <c r="J320" s="541">
        <f>+I320/H320</f>
        <v>0</v>
      </c>
      <c r="K320" s="637">
        <v>0</v>
      </c>
      <c r="L320" s="637">
        <v>0.1</v>
      </c>
      <c r="M320" s="685"/>
      <c r="N320" s="685"/>
      <c r="O320" s="677"/>
      <c r="P320" s="348"/>
      <c r="Q320" s="685"/>
      <c r="R320" s="677"/>
      <c r="S320" s="349"/>
      <c r="T320" s="484"/>
      <c r="U320" s="485"/>
      <c r="V320" s="486"/>
    </row>
    <row r="321" spans="1:22" outlineLevel="3">
      <c r="A321" s="342" t="s">
        <v>508</v>
      </c>
      <c r="B321" s="353"/>
      <c r="C321" s="547"/>
      <c r="D321" s="547"/>
      <c r="E321" s="547"/>
      <c r="F321" s="604"/>
      <c r="G321" s="534"/>
      <c r="H321" s="547"/>
      <c r="I321" s="664"/>
      <c r="J321" s="541"/>
      <c r="K321" s="637"/>
      <c r="L321" s="637"/>
      <c r="M321" s="685">
        <v>60000000</v>
      </c>
      <c r="N321" s="685">
        <v>60000000</v>
      </c>
      <c r="O321" s="673">
        <f>+N321/M321</f>
        <v>1</v>
      </c>
      <c r="P321" s="771">
        <v>435000000</v>
      </c>
      <c r="Q321" s="685">
        <v>60000000</v>
      </c>
      <c r="R321" s="673">
        <f>+Q321/P321</f>
        <v>0.13793103448275862</v>
      </c>
      <c r="S321" s="349"/>
      <c r="T321" s="484"/>
      <c r="U321" s="485"/>
      <c r="V321" s="486"/>
    </row>
    <row r="322" spans="1:22" ht="38.25" outlineLevel="3">
      <c r="A322" s="342" t="s">
        <v>509</v>
      </c>
      <c r="B322" s="353" t="s">
        <v>92</v>
      </c>
      <c r="C322" s="556">
        <v>1</v>
      </c>
      <c r="D322" s="556">
        <v>1</v>
      </c>
      <c r="E322" s="558">
        <f>+D322/C322</f>
        <v>1</v>
      </c>
      <c r="F322" s="604" t="s">
        <v>510</v>
      </c>
      <c r="G322" s="534"/>
      <c r="H322" s="556">
        <v>1</v>
      </c>
      <c r="I322" s="558">
        <f>D322*0.25</f>
        <v>0.25</v>
      </c>
      <c r="J322" s="541">
        <f>+I322/H322</f>
        <v>0.25</v>
      </c>
      <c r="K322" s="637">
        <v>0.18</v>
      </c>
      <c r="L322" s="637">
        <v>0.12</v>
      </c>
      <c r="M322" s="685"/>
      <c r="N322" s="685"/>
      <c r="O322" s="677"/>
      <c r="P322" s="348"/>
      <c r="Q322" s="685"/>
      <c r="R322" s="677"/>
      <c r="S322" s="349"/>
      <c r="T322" s="484"/>
      <c r="U322" s="485"/>
      <c r="V322" s="486"/>
    </row>
    <row r="323" spans="1:22" outlineLevel="3">
      <c r="A323" s="342" t="s">
        <v>511</v>
      </c>
      <c r="B323" s="353"/>
      <c r="C323" s="547"/>
      <c r="D323" s="547"/>
      <c r="E323" s="547"/>
      <c r="F323" s="604"/>
      <c r="G323" s="534"/>
      <c r="H323" s="547"/>
      <c r="I323" s="664"/>
      <c r="J323" s="541"/>
      <c r="K323" s="637"/>
      <c r="L323" s="637"/>
      <c r="M323" s="685">
        <v>60000000</v>
      </c>
      <c r="N323" s="685">
        <v>56200000</v>
      </c>
      <c r="O323" s="673">
        <f>+N323/M323</f>
        <v>0.93666666666666665</v>
      </c>
      <c r="P323" s="771">
        <v>435000000</v>
      </c>
      <c r="Q323" s="685">
        <v>56200000</v>
      </c>
      <c r="R323" s="673">
        <f>+Q323/P323</f>
        <v>0.12919540229885057</v>
      </c>
      <c r="S323" s="349"/>
      <c r="T323" s="484"/>
      <c r="U323" s="485"/>
      <c r="V323" s="486"/>
    </row>
    <row r="324" spans="1:22" ht="44.65" customHeight="1" outlineLevel="3">
      <c r="A324" s="342" t="s">
        <v>512</v>
      </c>
      <c r="B324" s="353" t="s">
        <v>92</v>
      </c>
      <c r="C324" s="556">
        <v>1</v>
      </c>
      <c r="D324" s="556">
        <v>1</v>
      </c>
      <c r="E324" s="530">
        <f>+D324/C324</f>
        <v>1</v>
      </c>
      <c r="F324" s="604" t="s">
        <v>513</v>
      </c>
      <c r="G324" s="603"/>
      <c r="H324" s="556">
        <v>1</v>
      </c>
      <c r="I324" s="558">
        <f>D324*0.25</f>
        <v>0.25</v>
      </c>
      <c r="J324" s="541">
        <f>+I324/H324</f>
        <v>0.25</v>
      </c>
      <c r="K324" s="637">
        <v>0.16</v>
      </c>
      <c r="L324" s="637">
        <v>0.1</v>
      </c>
      <c r="M324" s="685"/>
      <c r="N324" s="685"/>
      <c r="O324" s="677"/>
      <c r="P324" s="348"/>
      <c r="Q324" s="685"/>
      <c r="R324" s="677"/>
      <c r="S324" s="349"/>
      <c r="T324" s="484"/>
      <c r="U324" s="485"/>
      <c r="V324" s="486"/>
    </row>
    <row r="325" spans="1:22" outlineLevel="3">
      <c r="A325" s="342" t="s">
        <v>514</v>
      </c>
      <c r="B325" s="353"/>
      <c r="C325" s="547"/>
      <c r="D325" s="547"/>
      <c r="E325" s="547"/>
      <c r="F325" s="604"/>
      <c r="G325" s="534"/>
      <c r="H325" s="547"/>
      <c r="I325" s="664"/>
      <c r="J325" s="541"/>
      <c r="K325" s="637"/>
      <c r="L325" s="637"/>
      <c r="M325" s="685">
        <v>0</v>
      </c>
      <c r="N325" s="685">
        <v>0</v>
      </c>
      <c r="O325" s="677"/>
      <c r="P325" s="348">
        <v>400000000</v>
      </c>
      <c r="Q325" s="685">
        <v>0</v>
      </c>
      <c r="R325" s="673">
        <f>+Q325/P325</f>
        <v>0</v>
      </c>
      <c r="S325" s="349"/>
      <c r="T325" s="484"/>
      <c r="U325" s="485"/>
      <c r="V325" s="486"/>
    </row>
    <row r="326" spans="1:22" outlineLevel="3">
      <c r="A326" s="342" t="s">
        <v>515</v>
      </c>
      <c r="B326" s="353" t="s">
        <v>516</v>
      </c>
      <c r="C326" s="547">
        <v>0</v>
      </c>
      <c r="D326" s="547">
        <v>0</v>
      </c>
      <c r="E326" s="528">
        <v>0</v>
      </c>
      <c r="F326" s="604"/>
      <c r="G326" s="534"/>
      <c r="H326" s="547">
        <v>1</v>
      </c>
      <c r="I326" s="664">
        <f>D326</f>
        <v>0</v>
      </c>
      <c r="J326" s="664">
        <f>+I326/H326</f>
        <v>0</v>
      </c>
      <c r="K326" s="637">
        <v>0</v>
      </c>
      <c r="L326" s="637">
        <v>0.1</v>
      </c>
      <c r="M326" s="685"/>
      <c r="N326" s="685"/>
      <c r="O326" s="677"/>
      <c r="P326" s="348"/>
      <c r="Q326" s="685"/>
      <c r="R326" s="677"/>
      <c r="S326" s="349"/>
      <c r="T326" s="484"/>
      <c r="U326" s="485"/>
      <c r="V326" s="486"/>
    </row>
    <row r="327" spans="1:22" outlineLevel="2">
      <c r="A327" s="511" t="s">
        <v>517</v>
      </c>
      <c r="B327" s="514"/>
      <c r="C327" s="554"/>
      <c r="D327" s="554"/>
      <c r="E327" s="551">
        <f>+E329*$K$329</f>
        <v>0</v>
      </c>
      <c r="F327" s="620"/>
      <c r="G327" s="551"/>
      <c r="H327" s="554"/>
      <c r="I327" s="664"/>
      <c r="J327" s="638">
        <f>+J329*$L$329</f>
        <v>0</v>
      </c>
      <c r="K327" s="638">
        <v>0</v>
      </c>
      <c r="L327" s="638">
        <v>0.1</v>
      </c>
      <c r="M327" s="685">
        <f>+SUM(M328:M329)</f>
        <v>0</v>
      </c>
      <c r="N327" s="685">
        <f>+SUM(N328:N329)</f>
        <v>0</v>
      </c>
      <c r="O327" s="673"/>
      <c r="P327" s="685">
        <f>+SUM(P328:P329)</f>
        <v>250000000</v>
      </c>
      <c r="Q327" s="685">
        <f>+SUM(Q328:Q329)</f>
        <v>0</v>
      </c>
      <c r="R327" s="673">
        <f t="shared" ref="R327:R328" si="1">+Q327/P327</f>
        <v>0</v>
      </c>
      <c r="S327" s="349"/>
      <c r="T327" s="484"/>
      <c r="U327" s="485"/>
      <c r="V327" s="486"/>
    </row>
    <row r="328" spans="1:22" ht="25.5" outlineLevel="3">
      <c r="A328" s="342" t="s">
        <v>518</v>
      </c>
      <c r="B328" s="353"/>
      <c r="C328" s="547"/>
      <c r="D328" s="547"/>
      <c r="E328" s="547"/>
      <c r="F328" s="604"/>
      <c r="G328" s="534"/>
      <c r="H328" s="547"/>
      <c r="I328" s="664"/>
      <c r="J328" s="541"/>
      <c r="K328" s="637"/>
      <c r="L328" s="637"/>
      <c r="M328" s="685">
        <v>0</v>
      </c>
      <c r="N328" s="685">
        <v>0</v>
      </c>
      <c r="O328" s="677"/>
      <c r="P328" s="348">
        <v>250000000</v>
      </c>
      <c r="Q328" s="685">
        <v>0</v>
      </c>
      <c r="R328" s="673">
        <f t="shared" si="1"/>
        <v>0</v>
      </c>
      <c r="S328" s="349"/>
      <c r="T328" s="484"/>
      <c r="U328" s="485"/>
      <c r="V328" s="486"/>
    </row>
    <row r="329" spans="1:22" ht="13.5" outlineLevel="3" thickBot="1">
      <c r="A329" s="488" t="s">
        <v>519</v>
      </c>
      <c r="B329" s="353" t="s">
        <v>520</v>
      </c>
      <c r="C329" s="547">
        <v>0</v>
      </c>
      <c r="D329" s="547">
        <v>0</v>
      </c>
      <c r="E329" s="528">
        <v>0</v>
      </c>
      <c r="F329" s="604"/>
      <c r="G329" s="534"/>
      <c r="H329" s="547">
        <v>1</v>
      </c>
      <c r="I329" s="664">
        <f>D329</f>
        <v>0</v>
      </c>
      <c r="J329" s="541">
        <f>+I329/H329</f>
        <v>0</v>
      </c>
      <c r="K329" s="637">
        <v>0</v>
      </c>
      <c r="L329" s="637">
        <v>1</v>
      </c>
      <c r="M329" s="685"/>
      <c r="N329" s="685"/>
      <c r="O329" s="677"/>
      <c r="P329" s="348"/>
      <c r="Q329" s="685"/>
      <c r="R329" s="677"/>
      <c r="S329" s="349"/>
      <c r="T329" s="484"/>
      <c r="U329" s="485"/>
      <c r="V329" s="486"/>
    </row>
    <row r="330" spans="1:22" ht="26.25" outlineLevel="1" thickBot="1">
      <c r="A330" s="504" t="s">
        <v>521</v>
      </c>
      <c r="B330" s="510"/>
      <c r="C330" s="548"/>
      <c r="D330" s="548"/>
      <c r="E330" s="549">
        <f>+E331*$K$331</f>
        <v>1</v>
      </c>
      <c r="F330" s="617"/>
      <c r="G330" s="549"/>
      <c r="H330" s="548"/>
      <c r="I330" s="666"/>
      <c r="J330" s="549">
        <f>+J331*$L$331</f>
        <v>0.25</v>
      </c>
      <c r="K330" s="635">
        <v>0.19</v>
      </c>
      <c r="L330" s="635">
        <v>0.15</v>
      </c>
      <c r="M330" s="687">
        <f>+SUM(M331)</f>
        <v>270000000</v>
      </c>
      <c r="N330" s="687">
        <f>+SUM(N331)</f>
        <v>176700000</v>
      </c>
      <c r="O330" s="536">
        <f>+N330/M330</f>
        <v>0.6544444444444445</v>
      </c>
      <c r="P330" s="687">
        <f>+SUM(P331)</f>
        <v>2500000000</v>
      </c>
      <c r="Q330" s="687">
        <f>+SUM(Q331)</f>
        <v>176700000</v>
      </c>
      <c r="R330" s="536">
        <f>+Q330/P330</f>
        <v>7.0680000000000007E-2</v>
      </c>
      <c r="S330" s="505"/>
      <c r="T330" s="507"/>
      <c r="U330" s="508"/>
      <c r="V330" s="509"/>
    </row>
    <row r="331" spans="1:22" outlineLevel="2">
      <c r="A331" s="512" t="s">
        <v>522</v>
      </c>
      <c r="B331" s="513"/>
      <c r="C331" s="550"/>
      <c r="D331" s="550"/>
      <c r="E331" s="551">
        <f>+E333*$K$333+E335*$K$335+E337*$K$337+E339*$K$339</f>
        <v>1</v>
      </c>
      <c r="F331" s="618"/>
      <c r="G331" s="551"/>
      <c r="H331" s="550"/>
      <c r="I331" s="667"/>
      <c r="J331" s="551">
        <f>+J333*$L$333+J335*$L$335+J337*$L$337+J339*$L$339</f>
        <v>0.25</v>
      </c>
      <c r="K331" s="636">
        <v>1</v>
      </c>
      <c r="L331" s="636">
        <v>1</v>
      </c>
      <c r="M331" s="685">
        <f>+SUM(M332:M339)</f>
        <v>270000000</v>
      </c>
      <c r="N331" s="685">
        <f>+SUM(N332:N339)</f>
        <v>176700000</v>
      </c>
      <c r="O331" s="673">
        <f>+N331/M331</f>
        <v>0.6544444444444445</v>
      </c>
      <c r="P331" s="685">
        <f>+SUM(P332:P339)</f>
        <v>2500000000</v>
      </c>
      <c r="Q331" s="685">
        <f>+SUM(Q332:Q339)</f>
        <v>176700000</v>
      </c>
      <c r="R331" s="673">
        <f>+Q331/P331</f>
        <v>7.0680000000000007E-2</v>
      </c>
      <c r="S331" s="487"/>
      <c r="T331" s="480"/>
      <c r="U331" s="481"/>
      <c r="V331" s="482"/>
    </row>
    <row r="332" spans="1:22" ht="25.5" outlineLevel="3">
      <c r="A332" s="342" t="s">
        <v>523</v>
      </c>
      <c r="B332" s="353"/>
      <c r="C332" s="547"/>
      <c r="D332" s="547"/>
      <c r="E332" s="547"/>
      <c r="F332" s="604"/>
      <c r="G332" s="534"/>
      <c r="H332" s="547"/>
      <c r="I332" s="664"/>
      <c r="J332" s="541"/>
      <c r="K332" s="637"/>
      <c r="L332" s="637"/>
      <c r="M332" s="685">
        <v>0</v>
      </c>
      <c r="N332" s="685">
        <v>0</v>
      </c>
      <c r="O332" s="677"/>
      <c r="P332" s="348">
        <v>650000000</v>
      </c>
      <c r="Q332" s="685">
        <v>0</v>
      </c>
      <c r="R332" s="673">
        <f>+Q332/P332</f>
        <v>0</v>
      </c>
      <c r="S332" s="349"/>
      <c r="T332" s="484"/>
      <c r="U332" s="485"/>
      <c r="V332" s="486"/>
    </row>
    <row r="333" spans="1:22" outlineLevel="3">
      <c r="A333" s="342" t="s">
        <v>524</v>
      </c>
      <c r="B333" s="353" t="s">
        <v>468</v>
      </c>
      <c r="C333" s="547">
        <v>0</v>
      </c>
      <c r="D333" s="547">
        <v>0</v>
      </c>
      <c r="E333" s="528">
        <v>0</v>
      </c>
      <c r="F333" s="604"/>
      <c r="G333" s="534"/>
      <c r="H333" s="547">
        <v>4</v>
      </c>
      <c r="I333" s="664">
        <f>D333</f>
        <v>0</v>
      </c>
      <c r="J333" s="541">
        <f>+I333/H333</f>
        <v>0</v>
      </c>
      <c r="K333" s="637">
        <v>0</v>
      </c>
      <c r="L333" s="637">
        <v>0.3</v>
      </c>
      <c r="M333" s="685"/>
      <c r="N333" s="685"/>
      <c r="O333" s="677"/>
      <c r="P333" s="348"/>
      <c r="Q333" s="685"/>
      <c r="R333" s="677"/>
      <c r="S333" s="349"/>
      <c r="T333" s="484"/>
      <c r="U333" s="485"/>
      <c r="V333" s="486"/>
    </row>
    <row r="334" spans="1:22" ht="25.5" outlineLevel="3">
      <c r="A334" s="342" t="s">
        <v>525</v>
      </c>
      <c r="B334" s="353"/>
      <c r="C334" s="547"/>
      <c r="D334" s="547"/>
      <c r="E334" s="547"/>
      <c r="F334" s="604"/>
      <c r="G334" s="534"/>
      <c r="H334" s="547"/>
      <c r="I334" s="664"/>
      <c r="J334" s="541"/>
      <c r="K334" s="637"/>
      <c r="L334" s="637"/>
      <c r="M334" s="685">
        <v>0</v>
      </c>
      <c r="N334" s="685">
        <v>0</v>
      </c>
      <c r="O334" s="677"/>
      <c r="P334" s="348">
        <v>950000000</v>
      </c>
      <c r="Q334" s="685">
        <v>0</v>
      </c>
      <c r="R334" s="673">
        <f>+Q334/P334</f>
        <v>0</v>
      </c>
      <c r="S334" s="349"/>
      <c r="T334" s="484"/>
      <c r="U334" s="485"/>
      <c r="V334" s="486"/>
    </row>
    <row r="335" spans="1:22" outlineLevel="3">
      <c r="A335" s="342" t="s">
        <v>526</v>
      </c>
      <c r="B335" s="353" t="s">
        <v>468</v>
      </c>
      <c r="C335" s="547">
        <v>0</v>
      </c>
      <c r="D335" s="547">
        <v>0</v>
      </c>
      <c r="E335" s="528">
        <v>0</v>
      </c>
      <c r="F335" s="604"/>
      <c r="G335" s="534"/>
      <c r="H335" s="547">
        <v>23</v>
      </c>
      <c r="I335" s="664">
        <f>D335</f>
        <v>0</v>
      </c>
      <c r="J335" s="541">
        <f>+I335/H335</f>
        <v>0</v>
      </c>
      <c r="K335" s="637">
        <v>0</v>
      </c>
      <c r="L335" s="637">
        <v>0.3</v>
      </c>
      <c r="M335" s="685"/>
      <c r="N335" s="685"/>
      <c r="O335" s="677"/>
      <c r="P335" s="348"/>
      <c r="Q335" s="685"/>
      <c r="R335" s="677"/>
      <c r="S335" s="349"/>
      <c r="T335" s="484"/>
      <c r="U335" s="485"/>
      <c r="V335" s="486"/>
    </row>
    <row r="336" spans="1:22" ht="25.5" outlineLevel="3">
      <c r="A336" s="342" t="s">
        <v>527</v>
      </c>
      <c r="B336" s="353"/>
      <c r="C336" s="547"/>
      <c r="D336" s="547"/>
      <c r="E336" s="547"/>
      <c r="F336" s="604"/>
      <c r="G336" s="534"/>
      <c r="H336" s="547"/>
      <c r="I336" s="664"/>
      <c r="J336" s="541"/>
      <c r="K336" s="637"/>
      <c r="L336" s="637"/>
      <c r="M336" s="685">
        <v>100000000</v>
      </c>
      <c r="N336" s="685">
        <v>79700000</v>
      </c>
      <c r="O336" s="673">
        <f>+N336/M336</f>
        <v>0.79700000000000004</v>
      </c>
      <c r="P336" s="348">
        <v>400000000</v>
      </c>
      <c r="Q336" s="685">
        <v>79700000</v>
      </c>
      <c r="R336" s="673">
        <f>+Q336/P336</f>
        <v>0.19925000000000001</v>
      </c>
      <c r="S336" s="349"/>
      <c r="T336" s="484"/>
      <c r="U336" s="485"/>
      <c r="V336" s="486"/>
    </row>
    <row r="337" spans="1:22" ht="41.25" customHeight="1" outlineLevel="3">
      <c r="A337" s="342" t="s">
        <v>528</v>
      </c>
      <c r="B337" s="353" t="s">
        <v>92</v>
      </c>
      <c r="C337" s="556">
        <v>1</v>
      </c>
      <c r="D337" s="556">
        <v>1</v>
      </c>
      <c r="E337" s="541">
        <f>+D337/C337</f>
        <v>1</v>
      </c>
      <c r="F337" s="604" t="s">
        <v>529</v>
      </c>
      <c r="G337" s="534"/>
      <c r="H337" s="556">
        <v>1</v>
      </c>
      <c r="I337" s="558">
        <f>D337*0.25</f>
        <v>0.25</v>
      </c>
      <c r="J337" s="541">
        <f>+I337/H337</f>
        <v>0.25</v>
      </c>
      <c r="K337" s="637">
        <v>0.5</v>
      </c>
      <c r="L337" s="637">
        <v>0.2</v>
      </c>
      <c r="M337" s="685"/>
      <c r="N337" s="685"/>
      <c r="O337" s="677"/>
      <c r="P337" s="348"/>
      <c r="Q337" s="685"/>
      <c r="R337" s="677"/>
      <c r="S337" s="349"/>
      <c r="T337" s="484"/>
      <c r="U337" s="485"/>
      <c r="V337" s="486"/>
    </row>
    <row r="338" spans="1:22" ht="25.5" outlineLevel="3">
      <c r="A338" s="342" t="s">
        <v>530</v>
      </c>
      <c r="B338" s="353"/>
      <c r="C338" s="547"/>
      <c r="D338" s="547"/>
      <c r="E338" s="547"/>
      <c r="F338" s="604"/>
      <c r="G338" s="534"/>
      <c r="H338" s="547"/>
      <c r="I338" s="664"/>
      <c r="J338" s="541"/>
      <c r="K338" s="637"/>
      <c r="L338" s="637"/>
      <c r="M338" s="685">
        <v>170000000</v>
      </c>
      <c r="N338" s="685">
        <v>97000000</v>
      </c>
      <c r="O338" s="673">
        <f>+N338/M338</f>
        <v>0.57058823529411762</v>
      </c>
      <c r="P338" s="348">
        <v>500000000</v>
      </c>
      <c r="Q338" s="685">
        <v>97000000</v>
      </c>
      <c r="R338" s="673">
        <f>+Q338/P338</f>
        <v>0.19400000000000001</v>
      </c>
      <c r="S338" s="349"/>
      <c r="T338" s="484"/>
      <c r="U338" s="485"/>
      <c r="V338" s="486"/>
    </row>
    <row r="339" spans="1:22" ht="54.75" customHeight="1" outlineLevel="3" thickBot="1">
      <c r="A339" s="488" t="s">
        <v>531</v>
      </c>
      <c r="B339" s="353" t="s">
        <v>187</v>
      </c>
      <c r="C339" s="547">
        <v>23</v>
      </c>
      <c r="D339" s="547">
        <v>23</v>
      </c>
      <c r="E339" s="530">
        <f>+D339/C339</f>
        <v>1</v>
      </c>
      <c r="F339" s="604" t="s">
        <v>532</v>
      </c>
      <c r="G339" s="534"/>
      <c r="H339" s="547">
        <v>23</v>
      </c>
      <c r="I339" s="664">
        <f>D339</f>
        <v>23</v>
      </c>
      <c r="J339" s="541">
        <f>+I339/H339</f>
        <v>1</v>
      </c>
      <c r="K339" s="637">
        <v>0.5</v>
      </c>
      <c r="L339" s="637">
        <v>0.2</v>
      </c>
      <c r="M339" s="685"/>
      <c r="N339" s="685"/>
      <c r="O339" s="677"/>
      <c r="P339" s="348"/>
      <c r="Q339" s="685"/>
      <c r="R339" s="677"/>
      <c r="S339" s="349"/>
      <c r="T339" s="484"/>
      <c r="U339" s="485"/>
      <c r="V339" s="486"/>
    </row>
    <row r="340" spans="1:22" ht="26.25" outlineLevel="1" thickBot="1">
      <c r="A340" s="504" t="s">
        <v>533</v>
      </c>
      <c r="B340" s="510"/>
      <c r="C340" s="548"/>
      <c r="D340" s="548"/>
      <c r="E340" s="549">
        <f>+E341*$K$341</f>
        <v>0</v>
      </c>
      <c r="F340" s="617"/>
      <c r="G340" s="549"/>
      <c r="H340" s="548"/>
      <c r="I340" s="666"/>
      <c r="J340" s="549">
        <f>+J341*$L$341</f>
        <v>0</v>
      </c>
      <c r="K340" s="635">
        <v>0</v>
      </c>
      <c r="L340" s="635">
        <v>0.15</v>
      </c>
      <c r="M340" s="687">
        <f>+SUM(M341)</f>
        <v>0</v>
      </c>
      <c r="N340" s="687">
        <f>+SUM(N341)</f>
        <v>0</v>
      </c>
      <c r="O340" s="536"/>
      <c r="P340" s="687">
        <f>+SUM(P341)</f>
        <v>3500000000</v>
      </c>
      <c r="Q340" s="687">
        <f>+SUM(Q341)</f>
        <v>0</v>
      </c>
      <c r="R340" s="536">
        <f t="shared" ref="R340:R342" si="2">+Q340/P340</f>
        <v>0</v>
      </c>
      <c r="S340" s="505"/>
      <c r="T340" s="507"/>
      <c r="U340" s="508"/>
      <c r="V340" s="509"/>
    </row>
    <row r="341" spans="1:22" outlineLevel="2">
      <c r="A341" s="512" t="s">
        <v>534</v>
      </c>
      <c r="B341" s="513"/>
      <c r="C341" s="550"/>
      <c r="D341" s="550"/>
      <c r="E341" s="551">
        <f>+E343*$K$343</f>
        <v>0</v>
      </c>
      <c r="F341" s="618"/>
      <c r="G341" s="551"/>
      <c r="H341" s="550"/>
      <c r="I341" s="667"/>
      <c r="J341" s="551">
        <f>+J343*$L$343</f>
        <v>0</v>
      </c>
      <c r="K341" s="636">
        <v>0</v>
      </c>
      <c r="L341" s="636">
        <v>1</v>
      </c>
      <c r="M341" s="685">
        <f>+SUM(M342:M343)</f>
        <v>0</v>
      </c>
      <c r="N341" s="685">
        <f>+SUM(N342:N343)</f>
        <v>0</v>
      </c>
      <c r="O341" s="678"/>
      <c r="P341" s="685">
        <f>+SUM(P342:P343)</f>
        <v>3500000000</v>
      </c>
      <c r="Q341" s="685">
        <f>+SUM(Q342:Q343)</f>
        <v>0</v>
      </c>
      <c r="R341" s="673">
        <f t="shared" si="2"/>
        <v>0</v>
      </c>
      <c r="S341" s="487"/>
      <c r="T341" s="480"/>
      <c r="U341" s="481"/>
      <c r="V341" s="482"/>
    </row>
    <row r="342" spans="1:22" ht="38.25" outlineLevel="3">
      <c r="A342" s="342" t="s">
        <v>535</v>
      </c>
      <c r="B342" s="353"/>
      <c r="C342" s="547"/>
      <c r="D342" s="547"/>
      <c r="E342" s="547"/>
      <c r="F342" s="604"/>
      <c r="G342" s="534"/>
      <c r="H342" s="547"/>
      <c r="I342" s="664"/>
      <c r="J342" s="541"/>
      <c r="K342" s="637"/>
      <c r="L342" s="637"/>
      <c r="M342" s="685">
        <v>0</v>
      </c>
      <c r="N342" s="685">
        <v>0</v>
      </c>
      <c r="O342" s="677"/>
      <c r="P342" s="348">
        <v>3500000000</v>
      </c>
      <c r="Q342" s="685">
        <v>0</v>
      </c>
      <c r="R342" s="673">
        <f t="shared" si="2"/>
        <v>0</v>
      </c>
      <c r="S342" s="349"/>
      <c r="T342" s="484"/>
      <c r="U342" s="485"/>
      <c r="V342" s="486"/>
    </row>
    <row r="343" spans="1:22" ht="13.5" outlineLevel="3" thickBot="1">
      <c r="A343" s="488" t="s">
        <v>536</v>
      </c>
      <c r="B343" s="353" t="s">
        <v>156</v>
      </c>
      <c r="C343" s="547">
        <v>0</v>
      </c>
      <c r="D343" s="547">
        <v>0</v>
      </c>
      <c r="E343" s="528">
        <v>0</v>
      </c>
      <c r="F343" s="604"/>
      <c r="G343" s="534"/>
      <c r="H343" s="547">
        <v>2</v>
      </c>
      <c r="I343" s="664">
        <f>D343</f>
        <v>0</v>
      </c>
      <c r="J343" s="541">
        <f>+I343/H343</f>
        <v>0</v>
      </c>
      <c r="K343" s="637">
        <v>0</v>
      </c>
      <c r="L343" s="637">
        <v>1</v>
      </c>
      <c r="M343" s="685"/>
      <c r="N343" s="685"/>
      <c r="O343" s="677"/>
      <c r="P343" s="348"/>
      <c r="Q343" s="685"/>
      <c r="R343" s="677"/>
      <c r="S343" s="349"/>
      <c r="T343" s="484"/>
      <c r="U343" s="485"/>
      <c r="V343" s="486"/>
    </row>
    <row r="344" spans="1:22" ht="16.5" customHeight="1" thickBot="1">
      <c r="A344" s="489" t="s">
        <v>537</v>
      </c>
      <c r="B344" s="490"/>
      <c r="C344" s="552"/>
      <c r="D344" s="552"/>
      <c r="E344" s="553">
        <f>+E345*$K$345+E355*$K$355+E374*$K$374+E391*$K$391+E401*$K$401+E409*$K$409+E426*$K$426+E442*$K$442+E456*$K$456+E468*$K$468</f>
        <v>0.88781333333333323</v>
      </c>
      <c r="F344" s="619"/>
      <c r="G344" s="553"/>
      <c r="H344" s="552"/>
      <c r="I344" s="668"/>
      <c r="J344" s="553">
        <f>+J345*$L$345+J355*$L$355+J374*$L$374+J391*$L$391+J401*$L$401+J409*$L$409+J426*$L$426+J442*$L$442+J456*$L$456+J468*$L$468</f>
        <v>0.17526126984126988</v>
      </c>
      <c r="K344" s="642">
        <v>0.15</v>
      </c>
      <c r="L344" s="642">
        <v>0.15</v>
      </c>
      <c r="M344" s="681">
        <f>+SUM(M345,M355,M374,M391,M401,M409,M426,M442,M456,M468)</f>
        <v>6011763411.4499998</v>
      </c>
      <c r="N344" s="681">
        <f>+SUM(N345,N355,N374,N391,N401,N409,N426,N442,N456,N468)</f>
        <v>3756011938.75</v>
      </c>
      <c r="O344" s="671">
        <f>+N344/M344</f>
        <v>0.62477707149890538</v>
      </c>
      <c r="P344" s="681">
        <f>+SUM(P345,P355,P374,P391,P401,P409,P426,P442,P456,P468)</f>
        <v>33671000000</v>
      </c>
      <c r="Q344" s="681">
        <f>+SUM(Q345,Q355,Q374,Q391,Q401,Q409,Q426,Q442,Q456,Q468)</f>
        <v>3756011938.75</v>
      </c>
      <c r="R344" s="671">
        <f>+Q344/P344</f>
        <v>0.11155035308574143</v>
      </c>
      <c r="S344" s="491"/>
      <c r="T344" s="492"/>
      <c r="U344" s="493"/>
      <c r="V344" s="494"/>
    </row>
    <row r="345" spans="1:22" ht="26.25" outlineLevel="1" thickBot="1">
      <c r="A345" s="504" t="s">
        <v>538</v>
      </c>
      <c r="B345" s="510"/>
      <c r="C345" s="548"/>
      <c r="D345" s="548"/>
      <c r="E345" s="549">
        <f>+E346*$K$346</f>
        <v>1</v>
      </c>
      <c r="F345" s="617"/>
      <c r="G345" s="549"/>
      <c r="H345" s="548"/>
      <c r="I345" s="666"/>
      <c r="J345" s="549">
        <f>+J346*$L$346</f>
        <v>0.22000000000000003</v>
      </c>
      <c r="K345" s="635">
        <v>0.1</v>
      </c>
      <c r="L345" s="635">
        <v>0.1</v>
      </c>
      <c r="M345" s="687">
        <f>+SUM(M346)</f>
        <v>414277511.51999998</v>
      </c>
      <c r="N345" s="687">
        <f>+SUM(N346)</f>
        <v>341342657</v>
      </c>
      <c r="O345" s="536">
        <f>+N345/M345</f>
        <v>0.82394686534540762</v>
      </c>
      <c r="P345" s="687">
        <f>+SUM(P346)</f>
        <v>2270000000</v>
      </c>
      <c r="Q345" s="687">
        <f>+SUM(Q346)</f>
        <v>341342657</v>
      </c>
      <c r="R345" s="536">
        <f>+Q345/P345</f>
        <v>0.15037121453744492</v>
      </c>
      <c r="S345" s="505"/>
      <c r="T345" s="507"/>
      <c r="U345" s="508"/>
      <c r="V345" s="509"/>
    </row>
    <row r="346" spans="1:22" outlineLevel="2">
      <c r="A346" s="512" t="s">
        <v>539</v>
      </c>
      <c r="B346" s="513"/>
      <c r="C346" s="550"/>
      <c r="D346" s="550"/>
      <c r="E346" s="551">
        <f>+E348*$K$348+E350*$K$350+E352*$K$352+E354*$K$354</f>
        <v>1</v>
      </c>
      <c r="F346" s="618"/>
      <c r="G346" s="551"/>
      <c r="H346" s="550"/>
      <c r="I346" s="667"/>
      <c r="J346" s="551">
        <f>+J348*$L$348+J350*$L$350+J352*$L$352+J354*$L$354</f>
        <v>0.22000000000000003</v>
      </c>
      <c r="K346" s="636">
        <v>1</v>
      </c>
      <c r="L346" s="636">
        <v>1</v>
      </c>
      <c r="M346" s="685">
        <f>+SUM(M347:M354)</f>
        <v>414277511.51999998</v>
      </c>
      <c r="N346" s="685">
        <f>+SUM(N347:N354)</f>
        <v>341342657</v>
      </c>
      <c r="O346" s="673">
        <f>+N346/M346</f>
        <v>0.82394686534540762</v>
      </c>
      <c r="P346" s="685">
        <f>+SUM(P347:P354)</f>
        <v>2270000000</v>
      </c>
      <c r="Q346" s="685">
        <f>+SUM(Q347:Q354)</f>
        <v>341342657</v>
      </c>
      <c r="R346" s="673">
        <f>+Q346/P346</f>
        <v>0.15037121453744492</v>
      </c>
      <c r="S346" s="487"/>
      <c r="T346" s="480"/>
      <c r="U346" s="481"/>
      <c r="V346" s="482"/>
    </row>
    <row r="347" spans="1:22" ht="18" customHeight="1" outlineLevel="3">
      <c r="A347" s="342" t="s">
        <v>540</v>
      </c>
      <c r="B347" s="353"/>
      <c r="C347" s="547"/>
      <c r="D347" s="547"/>
      <c r="E347" s="547"/>
      <c r="F347" s="604"/>
      <c r="G347" s="534"/>
      <c r="H347" s="547"/>
      <c r="I347" s="664"/>
      <c r="J347" s="541"/>
      <c r="K347" s="637"/>
      <c r="L347" s="637"/>
      <c r="M347" s="685">
        <v>0</v>
      </c>
      <c r="N347" s="685">
        <v>0</v>
      </c>
      <c r="O347" s="677"/>
      <c r="P347" s="348">
        <v>100000000</v>
      </c>
      <c r="Q347" s="685">
        <v>0</v>
      </c>
      <c r="R347" s="673">
        <f>+Q347/P347</f>
        <v>0</v>
      </c>
      <c r="S347" s="349"/>
      <c r="T347" s="484"/>
      <c r="U347" s="485"/>
      <c r="V347" s="486"/>
    </row>
    <row r="348" spans="1:22" outlineLevel="3">
      <c r="A348" s="342" t="s">
        <v>541</v>
      </c>
      <c r="B348" s="353" t="s">
        <v>285</v>
      </c>
      <c r="C348" s="547">
        <v>0</v>
      </c>
      <c r="D348" s="547">
        <v>0</v>
      </c>
      <c r="E348" s="528">
        <v>0</v>
      </c>
      <c r="F348" s="604"/>
      <c r="G348" s="534"/>
      <c r="H348" s="547">
        <v>1</v>
      </c>
      <c r="I348" s="664">
        <f>D348</f>
        <v>0</v>
      </c>
      <c r="J348" s="541">
        <f>+I348/H348</f>
        <v>0</v>
      </c>
      <c r="K348" s="637">
        <v>0</v>
      </c>
      <c r="L348" s="637">
        <v>0.1</v>
      </c>
      <c r="M348" s="685"/>
      <c r="N348" s="685"/>
      <c r="O348" s="677"/>
      <c r="P348" s="348"/>
      <c r="Q348" s="685"/>
      <c r="R348" s="677"/>
      <c r="S348" s="349"/>
      <c r="T348" s="484"/>
      <c r="U348" s="485"/>
      <c r="V348" s="486"/>
    </row>
    <row r="349" spans="1:22" outlineLevel="3">
      <c r="A349" s="342" t="s">
        <v>542</v>
      </c>
      <c r="B349" s="353"/>
      <c r="C349" s="547"/>
      <c r="D349" s="547"/>
      <c r="E349" s="547"/>
      <c r="F349" s="604"/>
      <c r="G349" s="534"/>
      <c r="H349" s="547"/>
      <c r="I349" s="664"/>
      <c r="J349" s="541"/>
      <c r="K349" s="637"/>
      <c r="L349" s="637"/>
      <c r="M349" s="685">
        <v>30000000</v>
      </c>
      <c r="N349" s="685">
        <v>2112242</v>
      </c>
      <c r="O349" s="673">
        <f>+N349/M349</f>
        <v>7.0408066666666672E-2</v>
      </c>
      <c r="P349" s="348">
        <v>120000000</v>
      </c>
      <c r="Q349" s="685">
        <v>2112242</v>
      </c>
      <c r="R349" s="673">
        <f>+Q349/P349</f>
        <v>1.7602016666666668E-2</v>
      </c>
      <c r="S349" s="349"/>
      <c r="T349" s="484"/>
      <c r="U349" s="485"/>
      <c r="V349" s="486"/>
    </row>
    <row r="350" spans="1:22" ht="45" customHeight="1" outlineLevel="3">
      <c r="A350" s="342" t="s">
        <v>543</v>
      </c>
      <c r="B350" s="353" t="s">
        <v>544</v>
      </c>
      <c r="C350" s="547">
        <v>3</v>
      </c>
      <c r="D350" s="547">
        <v>3</v>
      </c>
      <c r="E350" s="530">
        <f>+D350/C350</f>
        <v>1</v>
      </c>
      <c r="F350" s="604" t="s">
        <v>545</v>
      </c>
      <c r="G350" s="534"/>
      <c r="H350" s="547">
        <v>15</v>
      </c>
      <c r="I350" s="664">
        <f>D350</f>
        <v>3</v>
      </c>
      <c r="J350" s="541">
        <f>+I350/H350</f>
        <v>0.2</v>
      </c>
      <c r="K350" s="637">
        <v>0.12</v>
      </c>
      <c r="L350" s="637">
        <v>0.1</v>
      </c>
      <c r="M350" s="685"/>
      <c r="N350" s="685"/>
      <c r="O350" s="677"/>
      <c r="P350" s="348"/>
      <c r="Q350" s="685"/>
      <c r="R350" s="677"/>
      <c r="S350" s="349"/>
      <c r="T350" s="484"/>
      <c r="U350" s="485"/>
      <c r="V350" s="486"/>
    </row>
    <row r="351" spans="1:22" ht="57.75" customHeight="1" outlineLevel="3">
      <c r="A351" s="342" t="s">
        <v>546</v>
      </c>
      <c r="B351" s="353"/>
      <c r="C351" s="547"/>
      <c r="D351" s="547"/>
      <c r="E351" s="547"/>
      <c r="F351" s="604"/>
      <c r="G351" s="534"/>
      <c r="H351" s="547"/>
      <c r="I351" s="664"/>
      <c r="J351" s="541"/>
      <c r="K351" s="637"/>
      <c r="L351" s="637"/>
      <c r="M351" s="685">
        <v>164277511.52000001</v>
      </c>
      <c r="N351" s="685">
        <v>120914682</v>
      </c>
      <c r="O351" s="673">
        <f>+N351/M351</f>
        <v>0.73603916251969281</v>
      </c>
      <c r="P351" s="348">
        <v>1050000000</v>
      </c>
      <c r="Q351" s="685">
        <v>120914682</v>
      </c>
      <c r="R351" s="673">
        <f>+Q351/P351</f>
        <v>0.11515684</v>
      </c>
      <c r="S351" s="349"/>
      <c r="T351" s="484"/>
      <c r="U351" s="485"/>
      <c r="V351" s="486"/>
    </row>
    <row r="352" spans="1:22" ht="54.75" customHeight="1" outlineLevel="3">
      <c r="A352" s="342" t="s">
        <v>547</v>
      </c>
      <c r="B352" s="353" t="s">
        <v>92</v>
      </c>
      <c r="C352" s="556">
        <v>0.9</v>
      </c>
      <c r="D352" s="568">
        <v>0.9</v>
      </c>
      <c r="E352" s="530">
        <f>+D352/C352</f>
        <v>1</v>
      </c>
      <c r="F352" s="604" t="s">
        <v>548</v>
      </c>
      <c r="G352" s="534"/>
      <c r="H352" s="556">
        <v>0.9</v>
      </c>
      <c r="I352" s="558">
        <f>D352*0.25</f>
        <v>0.22500000000000001</v>
      </c>
      <c r="J352" s="541">
        <f>+I352/H352</f>
        <v>0.25</v>
      </c>
      <c r="K352" s="637">
        <v>0.44</v>
      </c>
      <c r="L352" s="637">
        <v>0.4</v>
      </c>
      <c r="M352" s="685"/>
      <c r="N352" s="685"/>
      <c r="O352" s="677"/>
      <c r="P352" s="348"/>
      <c r="Q352" s="685"/>
      <c r="R352" s="677"/>
      <c r="S352" s="349"/>
      <c r="T352" s="484"/>
      <c r="U352" s="485"/>
      <c r="V352" s="486"/>
    </row>
    <row r="353" spans="1:22" outlineLevel="3">
      <c r="A353" s="342" t="s">
        <v>549</v>
      </c>
      <c r="B353" s="353"/>
      <c r="C353" s="547"/>
      <c r="D353" s="547"/>
      <c r="E353" s="547"/>
      <c r="F353" s="604"/>
      <c r="G353" s="534"/>
      <c r="H353" s="547"/>
      <c r="I353" s="664"/>
      <c r="J353" s="541"/>
      <c r="K353" s="637"/>
      <c r="L353" s="637"/>
      <c r="M353" s="685">
        <v>220000000</v>
      </c>
      <c r="N353" s="685">
        <v>218315733</v>
      </c>
      <c r="O353" s="673">
        <f>+N353/M353</f>
        <v>0.9923442409090909</v>
      </c>
      <c r="P353" s="348">
        <v>1000000000</v>
      </c>
      <c r="Q353" s="685">
        <v>218315733</v>
      </c>
      <c r="R353" s="673">
        <f>+Q353/P353</f>
        <v>0.21831573300000001</v>
      </c>
      <c r="S353" s="349"/>
      <c r="T353" s="484"/>
      <c r="U353" s="485"/>
      <c r="V353" s="486"/>
    </row>
    <row r="354" spans="1:22" ht="79.5" customHeight="1" outlineLevel="3" thickBot="1">
      <c r="A354" s="488" t="s">
        <v>550</v>
      </c>
      <c r="B354" s="353" t="s">
        <v>551</v>
      </c>
      <c r="C354" s="547">
        <v>10</v>
      </c>
      <c r="D354" s="547">
        <v>10</v>
      </c>
      <c r="E354" s="530">
        <f>+D354/C354</f>
        <v>1</v>
      </c>
      <c r="F354" s="604" t="s">
        <v>552</v>
      </c>
      <c r="G354" s="534"/>
      <c r="H354" s="547">
        <v>40</v>
      </c>
      <c r="I354" s="664">
        <f>D354</f>
        <v>10</v>
      </c>
      <c r="J354" s="541">
        <f>+I354/H354</f>
        <v>0.25</v>
      </c>
      <c r="K354" s="637">
        <v>0.44</v>
      </c>
      <c r="L354" s="637">
        <v>0.4</v>
      </c>
      <c r="M354" s="685"/>
      <c r="N354" s="685"/>
      <c r="O354" s="677"/>
      <c r="P354" s="348"/>
      <c r="Q354" s="685"/>
      <c r="R354" s="677"/>
      <c r="S354" s="349"/>
      <c r="T354" s="484"/>
      <c r="U354" s="485"/>
      <c r="V354" s="486"/>
    </row>
    <row r="355" spans="1:22" ht="13.5" outlineLevel="1" thickBot="1">
      <c r="A355" s="504" t="s">
        <v>553</v>
      </c>
      <c r="B355" s="510"/>
      <c r="C355" s="548"/>
      <c r="D355" s="548"/>
      <c r="E355" s="549">
        <f>+E356*$K$356+E371*$K$371</f>
        <v>0.74399999999999999</v>
      </c>
      <c r="F355" s="617"/>
      <c r="G355" s="549"/>
      <c r="H355" s="548"/>
      <c r="I355" s="666"/>
      <c r="J355" s="549">
        <f>+J356*$L$356+J371*$L$371</f>
        <v>0.2</v>
      </c>
      <c r="K355" s="635">
        <v>0.1</v>
      </c>
      <c r="L355" s="635">
        <v>0.1</v>
      </c>
      <c r="M355" s="687">
        <f>+SUM(M356,M371)</f>
        <v>430000000</v>
      </c>
      <c r="N355" s="687">
        <f>+SUM(N356,N371)</f>
        <v>103830000</v>
      </c>
      <c r="O355" s="536">
        <f>+N355/M355</f>
        <v>0.24146511627906977</v>
      </c>
      <c r="P355" s="687">
        <f>+SUM(P356,P371)</f>
        <v>1570000000</v>
      </c>
      <c r="Q355" s="687">
        <f>+SUM(Q356,Q371)</f>
        <v>103830000</v>
      </c>
      <c r="R355" s="536">
        <f>+Q355/P355</f>
        <v>6.6133757961783446E-2</v>
      </c>
      <c r="S355" s="505"/>
      <c r="T355" s="507"/>
      <c r="U355" s="508"/>
      <c r="V355" s="509"/>
    </row>
    <row r="356" spans="1:22" outlineLevel="2">
      <c r="A356" s="512" t="s">
        <v>554</v>
      </c>
      <c r="B356" s="513"/>
      <c r="C356" s="550"/>
      <c r="D356" s="550"/>
      <c r="E356" s="540">
        <f>+E358*$K$358+E360*$K$360+E362*$K$362+E364*$K$364+E366*$K$366+E368*$K$368+E370*$K$370</f>
        <v>0.68</v>
      </c>
      <c r="F356" s="618"/>
      <c r="G356" s="540"/>
      <c r="H356" s="550"/>
      <c r="I356" s="667"/>
      <c r="J356" s="540">
        <f>+J358*$L$358+J360*$L$360+J362*$L$362+J364*$L$364+J366*$L$366+J368*$L$368+J370*$L$370</f>
        <v>0.1875</v>
      </c>
      <c r="K356" s="636">
        <v>0.8</v>
      </c>
      <c r="L356" s="636">
        <v>0.8</v>
      </c>
      <c r="M356" s="685">
        <f>+SUM(M357:M370)</f>
        <v>350000000</v>
      </c>
      <c r="N356" s="685">
        <f>+SUM(N357:N370)</f>
        <v>52830000</v>
      </c>
      <c r="O356" s="673">
        <f>+N356/M356</f>
        <v>0.15094285714285716</v>
      </c>
      <c r="P356" s="685">
        <f>+SUM(P357:P370)</f>
        <v>1250000000</v>
      </c>
      <c r="Q356" s="685">
        <f>+SUM(Q357:Q370)</f>
        <v>52830000</v>
      </c>
      <c r="R356" s="673">
        <f>+Q356/P356</f>
        <v>4.2264000000000003E-2</v>
      </c>
      <c r="S356" s="487"/>
      <c r="T356" s="480"/>
      <c r="U356" s="481"/>
      <c r="V356" s="482"/>
    </row>
    <row r="357" spans="1:22" ht="25.5" outlineLevel="3">
      <c r="A357" s="342" t="s">
        <v>555</v>
      </c>
      <c r="B357" s="353"/>
      <c r="C357" s="547"/>
      <c r="D357" s="547"/>
      <c r="E357" s="547"/>
      <c r="F357" s="604"/>
      <c r="G357" s="534"/>
      <c r="H357" s="547"/>
      <c r="I357" s="664"/>
      <c r="J357" s="541"/>
      <c r="K357" s="637"/>
      <c r="L357" s="637"/>
      <c r="M357" s="685">
        <v>50000000</v>
      </c>
      <c r="N357" s="685">
        <v>8330000</v>
      </c>
      <c r="O357" s="673">
        <f>+N357/M357</f>
        <v>0.1666</v>
      </c>
      <c r="P357" s="348">
        <v>200000000</v>
      </c>
      <c r="Q357" s="685">
        <v>8330000</v>
      </c>
      <c r="R357" s="673">
        <f>+Q357/P357</f>
        <v>4.165E-2</v>
      </c>
      <c r="S357" s="349"/>
      <c r="T357" s="484"/>
      <c r="U357" s="485"/>
      <c r="V357" s="486"/>
    </row>
    <row r="358" spans="1:22" ht="66.95" customHeight="1" outlineLevel="3">
      <c r="A358" s="342" t="s">
        <v>556</v>
      </c>
      <c r="B358" s="353" t="s">
        <v>180</v>
      </c>
      <c r="C358" s="547">
        <v>1</v>
      </c>
      <c r="D358" s="547">
        <v>1</v>
      </c>
      <c r="E358" s="530">
        <f>+D358/C358</f>
        <v>1</v>
      </c>
      <c r="F358" s="604" t="s">
        <v>557</v>
      </c>
      <c r="G358" s="534"/>
      <c r="H358" s="547">
        <v>4</v>
      </c>
      <c r="I358" s="664">
        <f>D358</f>
        <v>1</v>
      </c>
      <c r="J358" s="541">
        <f>+I358/H358</f>
        <v>0.25</v>
      </c>
      <c r="K358" s="637">
        <v>0.22</v>
      </c>
      <c r="L358" s="637">
        <v>0.2</v>
      </c>
      <c r="M358" s="685"/>
      <c r="N358" s="685"/>
      <c r="O358" s="677"/>
      <c r="P358" s="348"/>
      <c r="Q358" s="685"/>
      <c r="R358" s="677"/>
      <c r="S358" s="349"/>
      <c r="T358" s="484"/>
      <c r="U358" s="485"/>
      <c r="V358" s="486"/>
    </row>
    <row r="359" spans="1:22" ht="25.5" outlineLevel="3">
      <c r="A359" s="342" t="s">
        <v>558</v>
      </c>
      <c r="B359" s="353"/>
      <c r="C359" s="547"/>
      <c r="D359" s="547"/>
      <c r="E359" s="547"/>
      <c r="F359" s="604"/>
      <c r="G359" s="534"/>
      <c r="H359" s="547"/>
      <c r="I359" s="664"/>
      <c r="J359" s="541"/>
      <c r="K359" s="637"/>
      <c r="L359" s="637"/>
      <c r="M359" s="685">
        <v>30000000</v>
      </c>
      <c r="N359" s="685">
        <v>15000000</v>
      </c>
      <c r="O359" s="673">
        <f>+N359/M359</f>
        <v>0.5</v>
      </c>
      <c r="P359" s="771">
        <v>80000000</v>
      </c>
      <c r="Q359" s="685">
        <v>15000000</v>
      </c>
      <c r="R359" s="673">
        <f>+Q359/P359</f>
        <v>0.1875</v>
      </c>
      <c r="S359" s="349"/>
      <c r="T359" s="484"/>
      <c r="U359" s="485"/>
      <c r="V359" s="486"/>
    </row>
    <row r="360" spans="1:22" ht="63.75" outlineLevel="3">
      <c r="A360" s="342" t="s">
        <v>559</v>
      </c>
      <c r="B360" s="353" t="s">
        <v>170</v>
      </c>
      <c r="C360" s="547">
        <v>1</v>
      </c>
      <c r="D360" s="547">
        <v>0</v>
      </c>
      <c r="E360" s="530">
        <f>+D360/C360</f>
        <v>0</v>
      </c>
      <c r="F360" s="604" t="s">
        <v>560</v>
      </c>
      <c r="G360" s="603"/>
      <c r="H360" s="547">
        <v>1</v>
      </c>
      <c r="I360" s="664">
        <f>D360</f>
        <v>0</v>
      </c>
      <c r="J360" s="541">
        <f>+I360/H360</f>
        <v>0</v>
      </c>
      <c r="K360" s="637">
        <v>0.16</v>
      </c>
      <c r="L360" s="637">
        <v>0.15</v>
      </c>
      <c r="M360" s="685"/>
      <c r="N360" s="685"/>
      <c r="O360" s="677"/>
      <c r="P360" s="348"/>
      <c r="Q360" s="685"/>
      <c r="R360" s="677"/>
      <c r="S360" s="349"/>
      <c r="T360" s="484"/>
      <c r="U360" s="485"/>
      <c r="V360" s="486"/>
    </row>
    <row r="361" spans="1:22" ht="25.5" outlineLevel="3">
      <c r="A361" s="342" t="s">
        <v>561</v>
      </c>
      <c r="B361" s="353"/>
      <c r="C361" s="547"/>
      <c r="D361" s="547"/>
      <c r="E361" s="547"/>
      <c r="F361" s="604"/>
      <c r="G361" s="534"/>
      <c r="H361" s="547"/>
      <c r="I361" s="664"/>
      <c r="J361" s="541"/>
      <c r="K361" s="637"/>
      <c r="L361" s="637"/>
      <c r="M361" s="685">
        <v>30000000</v>
      </c>
      <c r="N361" s="685">
        <v>15000000</v>
      </c>
      <c r="O361" s="673">
        <f>+N361/M361</f>
        <v>0.5</v>
      </c>
      <c r="P361" s="771">
        <v>80000000</v>
      </c>
      <c r="Q361" s="685">
        <v>15000000</v>
      </c>
      <c r="R361" s="673">
        <f>+Q361/P361</f>
        <v>0.1875</v>
      </c>
      <c r="S361" s="349"/>
      <c r="T361" s="484"/>
      <c r="U361" s="485"/>
      <c r="V361" s="486"/>
    </row>
    <row r="362" spans="1:22" ht="76.5" customHeight="1" outlineLevel="3">
      <c r="A362" s="342" t="s">
        <v>562</v>
      </c>
      <c r="B362" s="353" t="s">
        <v>180</v>
      </c>
      <c r="C362" s="547">
        <v>1</v>
      </c>
      <c r="D362" s="547">
        <v>1</v>
      </c>
      <c r="E362" s="530">
        <f>+D362/C362</f>
        <v>1</v>
      </c>
      <c r="F362" s="604" t="s">
        <v>563</v>
      </c>
      <c r="G362" s="534"/>
      <c r="H362" s="547">
        <v>2</v>
      </c>
      <c r="I362" s="664">
        <f>D362</f>
        <v>1</v>
      </c>
      <c r="J362" s="541">
        <f>+I362/H362</f>
        <v>0.5</v>
      </c>
      <c r="K362" s="637">
        <v>0.16</v>
      </c>
      <c r="L362" s="637">
        <v>0.15</v>
      </c>
      <c r="M362" s="685"/>
      <c r="N362" s="685"/>
      <c r="O362" s="677"/>
      <c r="P362" s="348"/>
      <c r="Q362" s="685"/>
      <c r="R362" s="677"/>
      <c r="S362" s="349"/>
      <c r="T362" s="484"/>
      <c r="U362" s="485"/>
      <c r="V362" s="486"/>
    </row>
    <row r="363" spans="1:22" ht="38.25" outlineLevel="3">
      <c r="A363" s="342" t="s">
        <v>564</v>
      </c>
      <c r="B363" s="353"/>
      <c r="C363" s="547"/>
      <c r="D363" s="547"/>
      <c r="E363" s="547"/>
      <c r="F363" s="604"/>
      <c r="G363" s="534"/>
      <c r="H363" s="547"/>
      <c r="I363" s="664"/>
      <c r="J363" s="541"/>
      <c r="K363" s="637"/>
      <c r="L363" s="637"/>
      <c r="M363" s="685">
        <v>20000000</v>
      </c>
      <c r="N363" s="685">
        <v>0</v>
      </c>
      <c r="O363" s="673">
        <f>+N363/M363</f>
        <v>0</v>
      </c>
      <c r="P363" s="771">
        <v>80000000</v>
      </c>
      <c r="Q363" s="685">
        <v>0</v>
      </c>
      <c r="R363" s="673">
        <f>+Q363/P363</f>
        <v>0</v>
      </c>
      <c r="S363" s="349"/>
      <c r="T363" s="484"/>
      <c r="U363" s="485"/>
      <c r="V363" s="486"/>
    </row>
    <row r="364" spans="1:22" ht="25.5" outlineLevel="3">
      <c r="A364" s="342" t="s">
        <v>565</v>
      </c>
      <c r="B364" s="353" t="s">
        <v>566</v>
      </c>
      <c r="C364" s="547">
        <v>1</v>
      </c>
      <c r="D364" s="547">
        <v>0</v>
      </c>
      <c r="E364" s="530">
        <f>+D364/C364</f>
        <v>0</v>
      </c>
      <c r="F364" s="604" t="s">
        <v>567</v>
      </c>
      <c r="G364" s="603"/>
      <c r="H364" s="547">
        <v>3</v>
      </c>
      <c r="I364" s="664">
        <f>D364</f>
        <v>0</v>
      </c>
      <c r="J364" s="541">
        <f>+I364/H364</f>
        <v>0</v>
      </c>
      <c r="K364" s="637">
        <v>0.16</v>
      </c>
      <c r="L364" s="637">
        <v>0.15</v>
      </c>
      <c r="M364" s="685"/>
      <c r="N364" s="685"/>
      <c r="O364" s="677"/>
      <c r="P364" s="348"/>
      <c r="Q364" s="685"/>
      <c r="R364" s="677"/>
      <c r="S364" s="349"/>
      <c r="T364" s="484"/>
      <c r="U364" s="485"/>
      <c r="V364" s="486"/>
    </row>
    <row r="365" spans="1:22" ht="33" customHeight="1" outlineLevel="3">
      <c r="A365" s="342" t="s">
        <v>568</v>
      </c>
      <c r="B365" s="353"/>
      <c r="C365" s="547"/>
      <c r="D365" s="547"/>
      <c r="E365" s="547"/>
      <c r="F365" s="604"/>
      <c r="G365" s="534"/>
      <c r="H365" s="547"/>
      <c r="I365" s="664"/>
      <c r="J365" s="541"/>
      <c r="K365" s="637"/>
      <c r="L365" s="637"/>
      <c r="M365" s="685">
        <v>200000000</v>
      </c>
      <c r="N365" s="685">
        <v>14500000</v>
      </c>
      <c r="O365" s="673">
        <f>+N365/M365</f>
        <v>7.2499999999999995E-2</v>
      </c>
      <c r="P365" s="348">
        <v>650000000</v>
      </c>
      <c r="Q365" s="685">
        <v>14500000</v>
      </c>
      <c r="R365" s="673">
        <f>+Q365/P365</f>
        <v>2.2307692307692306E-2</v>
      </c>
      <c r="S365" s="349"/>
      <c r="T365" s="484"/>
      <c r="U365" s="485"/>
      <c r="V365" s="486"/>
    </row>
    <row r="366" spans="1:22" ht="78.75" customHeight="1" outlineLevel="3">
      <c r="A366" s="342" t="s">
        <v>569</v>
      </c>
      <c r="B366" s="353" t="s">
        <v>566</v>
      </c>
      <c r="C366" s="547">
        <v>1</v>
      </c>
      <c r="D366" s="547">
        <v>1</v>
      </c>
      <c r="E366" s="530">
        <f>+D366/C366</f>
        <v>1</v>
      </c>
      <c r="F366" s="604" t="s">
        <v>570</v>
      </c>
      <c r="G366" s="534"/>
      <c r="H366" s="547">
        <v>4</v>
      </c>
      <c r="I366" s="664">
        <f>D366</f>
        <v>1</v>
      </c>
      <c r="J366" s="541">
        <f>+I366/H366</f>
        <v>0.25</v>
      </c>
      <c r="K366" s="637">
        <v>0.18</v>
      </c>
      <c r="L366" s="637">
        <v>0.15</v>
      </c>
      <c r="M366" s="685"/>
      <c r="N366" s="685"/>
      <c r="O366" s="677"/>
      <c r="P366" s="348"/>
      <c r="Q366" s="685"/>
      <c r="R366" s="677"/>
      <c r="S366" s="349"/>
      <c r="T366" s="484"/>
      <c r="U366" s="485"/>
      <c r="V366" s="486"/>
    </row>
    <row r="367" spans="1:22" ht="36.75" customHeight="1" outlineLevel="3">
      <c r="A367" s="342" t="s">
        <v>571</v>
      </c>
      <c r="B367" s="353"/>
      <c r="C367" s="547"/>
      <c r="D367" s="547"/>
      <c r="E367" s="547"/>
      <c r="F367" s="604"/>
      <c r="G367" s="534"/>
      <c r="H367" s="547"/>
      <c r="I367" s="664"/>
      <c r="J367" s="541"/>
      <c r="K367" s="637"/>
      <c r="L367" s="637"/>
      <c r="M367" s="685">
        <v>0</v>
      </c>
      <c r="N367" s="685">
        <v>0</v>
      </c>
      <c r="O367" s="677"/>
      <c r="P367" s="348">
        <v>80000000</v>
      </c>
      <c r="Q367" s="685">
        <v>0</v>
      </c>
      <c r="R367" s="673">
        <f>+Q367/P367</f>
        <v>0</v>
      </c>
      <c r="S367" s="349"/>
      <c r="T367" s="484"/>
      <c r="U367" s="485"/>
      <c r="V367" s="486"/>
    </row>
    <row r="368" spans="1:22" outlineLevel="3">
      <c r="A368" s="342" t="s">
        <v>572</v>
      </c>
      <c r="B368" s="353" t="s">
        <v>285</v>
      </c>
      <c r="C368" s="547">
        <v>0</v>
      </c>
      <c r="D368" s="547">
        <v>0</v>
      </c>
      <c r="E368" s="528">
        <v>0</v>
      </c>
      <c r="F368" s="604"/>
      <c r="G368" s="534"/>
      <c r="H368" s="547">
        <v>2</v>
      </c>
      <c r="I368" s="664">
        <f>D368</f>
        <v>0</v>
      </c>
      <c r="J368" s="541">
        <f>+I368/H368</f>
        <v>0</v>
      </c>
      <c r="K368" s="637">
        <v>0</v>
      </c>
      <c r="L368" s="637">
        <v>0.1</v>
      </c>
      <c r="M368" s="685"/>
      <c r="N368" s="685"/>
      <c r="O368" s="677"/>
      <c r="P368" s="348"/>
      <c r="Q368" s="685"/>
      <c r="R368" s="677"/>
      <c r="S368" s="349"/>
      <c r="T368" s="484"/>
      <c r="U368" s="485"/>
      <c r="V368" s="486"/>
    </row>
    <row r="369" spans="1:22" ht="25.5" outlineLevel="3">
      <c r="A369" s="342" t="s">
        <v>573</v>
      </c>
      <c r="B369" s="353"/>
      <c r="C369" s="547"/>
      <c r="D369" s="547"/>
      <c r="E369" s="547"/>
      <c r="F369" s="604"/>
      <c r="G369" s="534"/>
      <c r="H369" s="547"/>
      <c r="I369" s="664"/>
      <c r="J369" s="541"/>
      <c r="K369" s="637"/>
      <c r="L369" s="637"/>
      <c r="M369" s="685">
        <v>20000000</v>
      </c>
      <c r="N369" s="685">
        <v>0</v>
      </c>
      <c r="O369" s="673">
        <f>+N369/M369</f>
        <v>0</v>
      </c>
      <c r="P369" s="348">
        <v>80000000</v>
      </c>
      <c r="Q369" s="685">
        <v>0</v>
      </c>
      <c r="R369" s="673">
        <f>+Q369/P369</f>
        <v>0</v>
      </c>
      <c r="S369" s="349"/>
      <c r="T369" s="484"/>
      <c r="U369" s="485"/>
      <c r="V369" s="486"/>
    </row>
    <row r="370" spans="1:22" ht="36.75" customHeight="1" outlineLevel="3">
      <c r="A370" s="342" t="s">
        <v>574</v>
      </c>
      <c r="B370" s="353" t="s">
        <v>575</v>
      </c>
      <c r="C370" s="547">
        <v>1</v>
      </c>
      <c r="D370" s="547">
        <v>1</v>
      </c>
      <c r="E370" s="530">
        <f>+D370/C370</f>
        <v>1</v>
      </c>
      <c r="F370" s="604" t="s">
        <v>576</v>
      </c>
      <c r="G370" s="603"/>
      <c r="H370" s="547">
        <v>4</v>
      </c>
      <c r="I370" s="664">
        <f>D370</f>
        <v>1</v>
      </c>
      <c r="J370" s="541">
        <f>+I370/H370</f>
        <v>0.25</v>
      </c>
      <c r="K370" s="637">
        <v>0.12</v>
      </c>
      <c r="L370" s="637">
        <v>0.1</v>
      </c>
      <c r="M370" s="685"/>
      <c r="N370" s="685"/>
      <c r="O370" s="677"/>
      <c r="P370" s="348"/>
      <c r="Q370" s="685"/>
      <c r="R370" s="677"/>
      <c r="S370" s="349"/>
      <c r="T370" s="484"/>
      <c r="U370" s="485"/>
      <c r="V370" s="486"/>
    </row>
    <row r="371" spans="1:22" outlineLevel="2">
      <c r="A371" s="511" t="s">
        <v>577</v>
      </c>
      <c r="B371" s="514"/>
      <c r="C371" s="554"/>
      <c r="D371" s="554"/>
      <c r="E371" s="540">
        <f>+E373*$K$373</f>
        <v>1</v>
      </c>
      <c r="F371" s="620"/>
      <c r="G371" s="540"/>
      <c r="H371" s="554"/>
      <c r="I371" s="665"/>
      <c r="J371" s="540">
        <f>+J373*$L$373</f>
        <v>0.25</v>
      </c>
      <c r="K371" s="638">
        <v>0.2</v>
      </c>
      <c r="L371" s="638">
        <v>0.2</v>
      </c>
      <c r="M371" s="685">
        <f>+SUM(M372:M373)</f>
        <v>80000000</v>
      </c>
      <c r="N371" s="685">
        <f>+SUM(N372:N373)</f>
        <v>51000000</v>
      </c>
      <c r="O371" s="673">
        <f>+N371/M371</f>
        <v>0.63749999999999996</v>
      </c>
      <c r="P371" s="685">
        <f>+SUM(P372:P373)</f>
        <v>320000000</v>
      </c>
      <c r="Q371" s="685">
        <f>+SUM(Q372:Q373)</f>
        <v>51000000</v>
      </c>
      <c r="R371" s="673">
        <f>+Q371/P371</f>
        <v>0.15937499999999999</v>
      </c>
      <c r="S371" s="349"/>
      <c r="T371" s="484"/>
      <c r="U371" s="485"/>
      <c r="V371" s="486"/>
    </row>
    <row r="372" spans="1:22" ht="36.75" customHeight="1" outlineLevel="3">
      <c r="A372" s="342" t="s">
        <v>578</v>
      </c>
      <c r="B372" s="353"/>
      <c r="C372" s="547"/>
      <c r="D372" s="547"/>
      <c r="E372" s="547"/>
      <c r="F372" s="604"/>
      <c r="G372" s="534"/>
      <c r="H372" s="547"/>
      <c r="I372" s="664"/>
      <c r="J372" s="541"/>
      <c r="K372" s="637"/>
      <c r="L372" s="637"/>
      <c r="M372" s="685">
        <v>80000000</v>
      </c>
      <c r="N372" s="685">
        <v>51000000</v>
      </c>
      <c r="O372" s="673">
        <f>+N372/M372</f>
        <v>0.63749999999999996</v>
      </c>
      <c r="P372" s="348">
        <v>320000000</v>
      </c>
      <c r="Q372" s="685">
        <v>51000000</v>
      </c>
      <c r="R372" s="673">
        <f>+Q372/P372</f>
        <v>0.15937499999999999</v>
      </c>
      <c r="S372" s="349"/>
      <c r="T372" s="484"/>
      <c r="U372" s="485"/>
      <c r="V372" s="486"/>
    </row>
    <row r="373" spans="1:22" ht="70.5" customHeight="1" outlineLevel="3" thickBot="1">
      <c r="A373" s="488" t="s">
        <v>579</v>
      </c>
      <c r="B373" s="353" t="s">
        <v>180</v>
      </c>
      <c r="C373" s="547">
        <v>1</v>
      </c>
      <c r="D373" s="547">
        <v>1</v>
      </c>
      <c r="E373" s="530">
        <f>+D373/C373</f>
        <v>1</v>
      </c>
      <c r="F373" s="604" t="s">
        <v>580</v>
      </c>
      <c r="G373" s="534"/>
      <c r="H373" s="547">
        <v>4</v>
      </c>
      <c r="I373" s="664">
        <f>D373</f>
        <v>1</v>
      </c>
      <c r="J373" s="541">
        <f>+I373/H373</f>
        <v>0.25</v>
      </c>
      <c r="K373" s="637">
        <v>1</v>
      </c>
      <c r="L373" s="637">
        <v>1</v>
      </c>
      <c r="M373" s="685"/>
      <c r="N373" s="685"/>
      <c r="O373" s="677"/>
      <c r="P373" s="348"/>
      <c r="Q373" s="685"/>
      <c r="R373" s="677"/>
      <c r="S373" s="349"/>
      <c r="T373" s="484"/>
      <c r="U373" s="485"/>
      <c r="V373" s="486"/>
    </row>
    <row r="374" spans="1:22" ht="13.5" outlineLevel="1" thickBot="1">
      <c r="A374" s="504" t="s">
        <v>581</v>
      </c>
      <c r="B374" s="510"/>
      <c r="C374" s="548"/>
      <c r="D374" s="548"/>
      <c r="E374" s="549">
        <f>+E375*$K$375+E382*$K$382</f>
        <v>1</v>
      </c>
      <c r="F374" s="617"/>
      <c r="G374" s="549"/>
      <c r="H374" s="548"/>
      <c r="I374" s="666"/>
      <c r="J374" s="549">
        <f>+J375*$L$375+J382*$L$382</f>
        <v>0.19111111111111112</v>
      </c>
      <c r="K374" s="635">
        <v>0.1</v>
      </c>
      <c r="L374" s="635">
        <v>0.1</v>
      </c>
      <c r="M374" s="687">
        <f>+SUM(M375,M382)</f>
        <v>1284891449.0999999</v>
      </c>
      <c r="N374" s="687">
        <f>+SUM(N375,N382)</f>
        <v>1216381367</v>
      </c>
      <c r="O374" s="536">
        <f>+N374/M374</f>
        <v>0.94668025680458245</v>
      </c>
      <c r="P374" s="687">
        <f>+SUM(P375,P382)</f>
        <v>5700000000</v>
      </c>
      <c r="Q374" s="687">
        <f>+SUM(Q375,Q382)</f>
        <v>1216381367</v>
      </c>
      <c r="R374" s="536">
        <f>+Q374/P374</f>
        <v>0.21340023982456141</v>
      </c>
      <c r="S374" s="505"/>
      <c r="T374" s="507"/>
      <c r="U374" s="508"/>
      <c r="V374" s="509"/>
    </row>
    <row r="375" spans="1:22" outlineLevel="2">
      <c r="A375" s="512" t="s">
        <v>582</v>
      </c>
      <c r="B375" s="513"/>
      <c r="C375" s="550"/>
      <c r="D375" s="550"/>
      <c r="E375" s="540">
        <f>+E377*$K$377+E379*$K$379+E381*$K$381</f>
        <v>0</v>
      </c>
      <c r="F375" s="618"/>
      <c r="G375" s="540"/>
      <c r="H375" s="550"/>
      <c r="I375" s="667"/>
      <c r="J375" s="540">
        <f>+J377*$L$377+J379*$L$379+J381*$L$381</f>
        <v>0</v>
      </c>
      <c r="K375" s="636">
        <v>0</v>
      </c>
      <c r="L375" s="636">
        <v>0.2</v>
      </c>
      <c r="M375" s="685">
        <f>+SUM(M376:M381)</f>
        <v>32500000</v>
      </c>
      <c r="N375" s="685">
        <f>+SUM(N376:N381)</f>
        <v>0</v>
      </c>
      <c r="O375" s="673">
        <f>+N375/M375</f>
        <v>0</v>
      </c>
      <c r="P375" s="685">
        <f>+SUM(P376:P381)</f>
        <v>450000000</v>
      </c>
      <c r="Q375" s="685">
        <f>+SUM(Q376:Q381)</f>
        <v>0</v>
      </c>
      <c r="R375" s="673">
        <f>+Q375/P375</f>
        <v>0</v>
      </c>
      <c r="S375" s="487"/>
      <c r="T375" s="480"/>
      <c r="U375" s="481"/>
      <c r="V375" s="482"/>
    </row>
    <row r="376" spans="1:22" ht="38.25" customHeight="1" outlineLevel="3">
      <c r="A376" s="342" t="s">
        <v>583</v>
      </c>
      <c r="B376" s="353"/>
      <c r="C376" s="547"/>
      <c r="D376" s="547"/>
      <c r="E376" s="547"/>
      <c r="F376" s="604"/>
      <c r="G376" s="534"/>
      <c r="H376" s="547"/>
      <c r="I376" s="664"/>
      <c r="J376" s="541"/>
      <c r="K376" s="637"/>
      <c r="L376" s="637"/>
      <c r="M376" s="685">
        <v>12500000</v>
      </c>
      <c r="N376" s="685">
        <v>0</v>
      </c>
      <c r="O376" s="673">
        <f>+N376/M376</f>
        <v>0</v>
      </c>
      <c r="P376" s="771">
        <v>150000000</v>
      </c>
      <c r="Q376" s="685">
        <v>0</v>
      </c>
      <c r="R376" s="673">
        <f>+Q376/P376</f>
        <v>0</v>
      </c>
      <c r="S376" s="349"/>
      <c r="T376" s="484"/>
      <c r="U376" s="485"/>
      <c r="V376" s="486"/>
    </row>
    <row r="377" spans="1:22" outlineLevel="3">
      <c r="A377" s="342" t="s">
        <v>584</v>
      </c>
      <c r="B377" s="353" t="s">
        <v>585</v>
      </c>
      <c r="C377" s="547">
        <v>0</v>
      </c>
      <c r="D377" s="547">
        <v>0</v>
      </c>
      <c r="E377" s="528">
        <v>0</v>
      </c>
      <c r="F377" s="604"/>
      <c r="G377" s="534"/>
      <c r="H377" s="547">
        <v>1</v>
      </c>
      <c r="I377" s="664">
        <f>D377</f>
        <v>0</v>
      </c>
      <c r="J377" s="541">
        <f>+I377/H377</f>
        <v>0</v>
      </c>
      <c r="K377" s="637">
        <v>0</v>
      </c>
      <c r="L377" s="637">
        <v>0.4</v>
      </c>
      <c r="M377" s="685"/>
      <c r="N377" s="685"/>
      <c r="O377" s="677"/>
      <c r="P377" s="348"/>
      <c r="Q377" s="685"/>
      <c r="R377" s="677"/>
      <c r="S377" s="349"/>
      <c r="T377" s="484"/>
      <c r="U377" s="485"/>
      <c r="V377" s="486"/>
    </row>
    <row r="378" spans="1:22" outlineLevel="3">
      <c r="A378" s="342" t="s">
        <v>586</v>
      </c>
      <c r="B378" s="353"/>
      <c r="C378" s="547"/>
      <c r="D378" s="547"/>
      <c r="E378" s="547"/>
      <c r="F378" s="604"/>
      <c r="G378" s="534"/>
      <c r="H378" s="547"/>
      <c r="I378" s="664"/>
      <c r="J378" s="541"/>
      <c r="K378" s="637"/>
      <c r="L378" s="637"/>
      <c r="M378" s="685">
        <v>10000000</v>
      </c>
      <c r="N378" s="685">
        <v>0</v>
      </c>
      <c r="O378" s="673">
        <f>+N378/M378</f>
        <v>0</v>
      </c>
      <c r="P378" s="771">
        <v>150000000</v>
      </c>
      <c r="Q378" s="685">
        <v>0</v>
      </c>
      <c r="R378" s="673">
        <f>+Q378/P378</f>
        <v>0</v>
      </c>
      <c r="S378" s="349"/>
      <c r="T378" s="484"/>
      <c r="U378" s="485"/>
      <c r="V378" s="486"/>
    </row>
    <row r="379" spans="1:22" outlineLevel="3">
      <c r="A379" s="342" t="s">
        <v>587</v>
      </c>
      <c r="B379" s="353" t="s">
        <v>92</v>
      </c>
      <c r="C379" s="556">
        <v>0</v>
      </c>
      <c r="D379" s="547">
        <v>0</v>
      </c>
      <c r="E379" s="528">
        <v>0</v>
      </c>
      <c r="F379" s="604"/>
      <c r="G379" s="534"/>
      <c r="H379" s="556">
        <v>1</v>
      </c>
      <c r="I379" s="558">
        <f>D379</f>
        <v>0</v>
      </c>
      <c r="J379" s="541">
        <f>+I379/H379</f>
        <v>0</v>
      </c>
      <c r="K379" s="637">
        <v>0</v>
      </c>
      <c r="L379" s="637">
        <v>0.3</v>
      </c>
      <c r="M379" s="685"/>
      <c r="N379" s="685"/>
      <c r="O379" s="677"/>
      <c r="P379" s="348"/>
      <c r="Q379" s="685"/>
      <c r="R379" s="677"/>
      <c r="S379" s="349"/>
      <c r="T379" s="484"/>
      <c r="U379" s="485"/>
      <c r="V379" s="486"/>
    </row>
    <row r="380" spans="1:22" ht="25.5" outlineLevel="3">
      <c r="A380" s="342" t="s">
        <v>588</v>
      </c>
      <c r="B380" s="353"/>
      <c r="C380" s="547"/>
      <c r="D380" s="547"/>
      <c r="E380" s="547"/>
      <c r="F380" s="604"/>
      <c r="G380" s="534"/>
      <c r="H380" s="547"/>
      <c r="I380" s="664"/>
      <c r="J380" s="541"/>
      <c r="K380" s="637"/>
      <c r="L380" s="637"/>
      <c r="M380" s="685">
        <v>10000000</v>
      </c>
      <c r="N380" s="685">
        <v>0</v>
      </c>
      <c r="O380" s="673">
        <f>+N380/M380</f>
        <v>0</v>
      </c>
      <c r="P380" s="771">
        <v>150000000</v>
      </c>
      <c r="Q380" s="685">
        <v>0</v>
      </c>
      <c r="R380" s="673">
        <f>+Q380/P380</f>
        <v>0</v>
      </c>
      <c r="S380" s="349"/>
      <c r="T380" s="484"/>
      <c r="U380" s="485"/>
      <c r="V380" s="486"/>
    </row>
    <row r="381" spans="1:22" outlineLevel="3">
      <c r="A381" s="342" t="s">
        <v>589</v>
      </c>
      <c r="B381" s="353" t="s">
        <v>446</v>
      </c>
      <c r="C381" s="547">
        <v>0</v>
      </c>
      <c r="D381" s="547">
        <v>0</v>
      </c>
      <c r="E381" s="528">
        <v>0</v>
      </c>
      <c r="F381" s="604"/>
      <c r="G381" s="534"/>
      <c r="H381" s="547">
        <v>2</v>
      </c>
      <c r="I381" s="664">
        <f>D381</f>
        <v>0</v>
      </c>
      <c r="J381" s="541">
        <f>+I381/H381</f>
        <v>0</v>
      </c>
      <c r="K381" s="637">
        <v>0</v>
      </c>
      <c r="L381" s="637">
        <v>0.3</v>
      </c>
      <c r="M381" s="685"/>
      <c r="N381" s="685"/>
      <c r="O381" s="677"/>
      <c r="P381" s="348"/>
      <c r="Q381" s="685"/>
      <c r="R381" s="677"/>
      <c r="S381" s="349"/>
      <c r="T381" s="484"/>
      <c r="U381" s="485"/>
      <c r="V381" s="486"/>
    </row>
    <row r="382" spans="1:22" outlineLevel="2">
      <c r="A382" s="511" t="s">
        <v>590</v>
      </c>
      <c r="B382" s="514"/>
      <c r="C382" s="554"/>
      <c r="D382" s="554"/>
      <c r="E382" s="540">
        <f>+E384*$K$384+E386*$K$386+E388*$K$388+E390*$K$390</f>
        <v>1</v>
      </c>
      <c r="F382" s="620"/>
      <c r="G382" s="540"/>
      <c r="H382" s="554"/>
      <c r="I382" s="665"/>
      <c r="J382" s="540">
        <f>+J384*$L$384+J386*$L$386+J388*$L$388+J390*$L$390</f>
        <v>0.23888888888888887</v>
      </c>
      <c r="K382" s="638">
        <v>1</v>
      </c>
      <c r="L382" s="638">
        <v>0.8</v>
      </c>
      <c r="M382" s="685">
        <f>+SUM(M383:M390)</f>
        <v>1252391449.0999999</v>
      </c>
      <c r="N382" s="685">
        <f>+SUM(N383:N390)</f>
        <v>1216381367</v>
      </c>
      <c r="O382" s="673">
        <f>+N382/M382</f>
        <v>0.97124694349687735</v>
      </c>
      <c r="P382" s="685">
        <f>+SUM(P383:P390)</f>
        <v>5250000000</v>
      </c>
      <c r="Q382" s="685">
        <f>+SUM(Q383:Q390)</f>
        <v>1216381367</v>
      </c>
      <c r="R382" s="673">
        <f>+Q382/P382</f>
        <v>0.23169168895238096</v>
      </c>
      <c r="S382" s="349"/>
      <c r="T382" s="484"/>
      <c r="U382" s="485"/>
      <c r="V382" s="486"/>
    </row>
    <row r="383" spans="1:22" ht="25.5" outlineLevel="3">
      <c r="A383" s="342" t="s">
        <v>591</v>
      </c>
      <c r="B383" s="353"/>
      <c r="C383" s="547"/>
      <c r="D383" s="547"/>
      <c r="E383" s="547"/>
      <c r="F383" s="604"/>
      <c r="G383" s="534"/>
      <c r="H383" s="547"/>
      <c r="I383" s="664"/>
      <c r="J383" s="541"/>
      <c r="K383" s="637"/>
      <c r="L383" s="637"/>
      <c r="M383" s="685">
        <v>649891449.10000002</v>
      </c>
      <c r="N383" s="685">
        <v>649891449</v>
      </c>
      <c r="O383" s="673">
        <f>+N383/M383</f>
        <v>0.99999999984612808</v>
      </c>
      <c r="P383" s="348">
        <v>1800000000</v>
      </c>
      <c r="Q383" s="685">
        <v>649891449</v>
      </c>
      <c r="R383" s="673">
        <f>+Q383/P383</f>
        <v>0.36105080499999997</v>
      </c>
      <c r="S383" s="349"/>
      <c r="T383" s="484"/>
      <c r="U383" s="485"/>
      <c r="V383" s="486"/>
    </row>
    <row r="384" spans="1:22" ht="51" outlineLevel="3">
      <c r="A384" s="342" t="s">
        <v>592</v>
      </c>
      <c r="B384" s="353" t="s">
        <v>92</v>
      </c>
      <c r="C384" s="556">
        <v>0.5</v>
      </c>
      <c r="D384" s="569">
        <v>0.5</v>
      </c>
      <c r="E384" s="530">
        <f>+D384/C384</f>
        <v>1</v>
      </c>
      <c r="F384" s="621" t="s">
        <v>593</v>
      </c>
      <c r="G384" s="534"/>
      <c r="H384" s="556">
        <v>1</v>
      </c>
      <c r="I384" s="558">
        <f>0.25</f>
        <v>0.25</v>
      </c>
      <c r="J384" s="541">
        <f>+I384/H384</f>
        <v>0.25</v>
      </c>
      <c r="K384" s="637">
        <v>0.35</v>
      </c>
      <c r="L384" s="637">
        <v>0.35</v>
      </c>
      <c r="M384" s="685"/>
      <c r="N384" s="685"/>
      <c r="O384" s="677"/>
      <c r="P384" s="348"/>
      <c r="Q384" s="685"/>
      <c r="R384" s="677"/>
      <c r="S384" s="349"/>
      <c r="T384" s="484"/>
      <c r="U384" s="485"/>
      <c r="V384" s="486"/>
    </row>
    <row r="385" spans="1:22" outlineLevel="3">
      <c r="A385" s="342" t="s">
        <v>594</v>
      </c>
      <c r="B385" s="353"/>
      <c r="C385" s="547"/>
      <c r="D385" s="547"/>
      <c r="E385" s="547"/>
      <c r="F385" s="604"/>
      <c r="G385" s="534"/>
      <c r="H385" s="547"/>
      <c r="I385" s="664"/>
      <c r="J385" s="541"/>
      <c r="K385" s="637"/>
      <c r="L385" s="637"/>
      <c r="M385" s="685">
        <v>200000000</v>
      </c>
      <c r="N385" s="685">
        <v>164237276</v>
      </c>
      <c r="O385" s="673">
        <f>+N385/M385</f>
        <v>0.82118637999999999</v>
      </c>
      <c r="P385" s="348">
        <v>1600000000</v>
      </c>
      <c r="Q385" s="685">
        <v>164237276</v>
      </c>
      <c r="R385" s="673">
        <f>+Q385/P385</f>
        <v>0.1026482975</v>
      </c>
      <c r="S385" s="349"/>
      <c r="T385" s="484"/>
      <c r="U385" s="485"/>
      <c r="V385" s="486"/>
    </row>
    <row r="386" spans="1:22" outlineLevel="3">
      <c r="A386" s="342" t="s">
        <v>595</v>
      </c>
      <c r="B386" s="353" t="s">
        <v>92</v>
      </c>
      <c r="C386" s="556">
        <v>0.1</v>
      </c>
      <c r="D386" s="569">
        <v>0.1</v>
      </c>
      <c r="E386" s="530">
        <f>+D386/C386</f>
        <v>1</v>
      </c>
      <c r="F386" s="604" t="s">
        <v>596</v>
      </c>
      <c r="G386" s="534"/>
      <c r="H386" s="556">
        <v>0.9</v>
      </c>
      <c r="I386" s="558">
        <f>D386</f>
        <v>0.1</v>
      </c>
      <c r="J386" s="541">
        <f>+I386/H386</f>
        <v>0.11111111111111112</v>
      </c>
      <c r="K386" s="637">
        <v>0.35</v>
      </c>
      <c r="L386" s="637">
        <v>0.35</v>
      </c>
      <c r="M386" s="685"/>
      <c r="N386" s="685"/>
      <c r="O386" s="677"/>
      <c r="P386" s="348"/>
      <c r="Q386" s="685"/>
      <c r="R386" s="677"/>
      <c r="S386" s="349"/>
      <c r="T386" s="484"/>
      <c r="U386" s="485"/>
      <c r="V386" s="486"/>
    </row>
    <row r="387" spans="1:22" outlineLevel="3">
      <c r="A387" s="342" t="s">
        <v>597</v>
      </c>
      <c r="B387" s="353"/>
      <c r="C387" s="547"/>
      <c r="D387" s="547"/>
      <c r="E387" s="547"/>
      <c r="F387" s="604"/>
      <c r="G387" s="534"/>
      <c r="H387" s="547"/>
      <c r="I387" s="664"/>
      <c r="J387" s="541"/>
      <c r="K387" s="637"/>
      <c r="L387" s="637"/>
      <c r="M387" s="685">
        <v>250000000</v>
      </c>
      <c r="N387" s="685">
        <v>250000000</v>
      </c>
      <c r="O387" s="673">
        <f>+N387/M387</f>
        <v>1</v>
      </c>
      <c r="P387" s="771">
        <v>925000000</v>
      </c>
      <c r="Q387" s="685">
        <v>250000000</v>
      </c>
      <c r="R387" s="673">
        <f>+Q387/P387</f>
        <v>0.27027027027027029</v>
      </c>
      <c r="S387" s="349"/>
      <c r="T387" s="484"/>
      <c r="U387" s="485"/>
      <c r="V387" s="486"/>
    </row>
    <row r="388" spans="1:22" ht="54.95" customHeight="1" outlineLevel="3">
      <c r="A388" s="342" t="s">
        <v>598</v>
      </c>
      <c r="B388" s="353" t="s">
        <v>92</v>
      </c>
      <c r="C388" s="556">
        <v>1</v>
      </c>
      <c r="D388" s="541">
        <v>1</v>
      </c>
      <c r="E388" s="530">
        <f>+D388/C388</f>
        <v>1</v>
      </c>
      <c r="F388" s="604" t="s">
        <v>599</v>
      </c>
      <c r="G388" s="534"/>
      <c r="H388" s="556">
        <v>1</v>
      </c>
      <c r="I388" s="558">
        <f>D388*0.25</f>
        <v>0.25</v>
      </c>
      <c r="J388" s="541">
        <f>+I388/H388</f>
        <v>0.25</v>
      </c>
      <c r="K388" s="637">
        <v>0.15</v>
      </c>
      <c r="L388" s="637">
        <v>0.15</v>
      </c>
      <c r="M388" s="685"/>
      <c r="N388" s="685"/>
      <c r="O388" s="677"/>
      <c r="P388" s="348"/>
      <c r="Q388" s="685"/>
      <c r="R388" s="677"/>
      <c r="S388" s="349"/>
      <c r="T388" s="484"/>
      <c r="U388" s="485"/>
      <c r="V388" s="486"/>
    </row>
    <row r="389" spans="1:22" ht="25.5" outlineLevel="3">
      <c r="A389" s="342" t="s">
        <v>600</v>
      </c>
      <c r="B389" s="353"/>
      <c r="C389" s="547"/>
      <c r="D389" s="547"/>
      <c r="E389" s="547"/>
      <c r="F389" s="604"/>
      <c r="G389" s="534"/>
      <c r="H389" s="547"/>
      <c r="I389" s="664"/>
      <c r="J389" s="541"/>
      <c r="K389" s="637"/>
      <c r="L389" s="637"/>
      <c r="M389" s="685">
        <v>152500000</v>
      </c>
      <c r="N389" s="685">
        <v>152252642</v>
      </c>
      <c r="O389" s="673">
        <f>+N389/M389</f>
        <v>0.99837798032786884</v>
      </c>
      <c r="P389" s="771">
        <v>925000000</v>
      </c>
      <c r="Q389" s="685">
        <v>152252642</v>
      </c>
      <c r="R389" s="673">
        <f>+Q389/P389</f>
        <v>0.16459745081081081</v>
      </c>
      <c r="S389" s="349"/>
      <c r="T389" s="484"/>
      <c r="U389" s="485"/>
      <c r="V389" s="486"/>
    </row>
    <row r="390" spans="1:22" ht="91.5" customHeight="1" outlineLevel="3" thickBot="1">
      <c r="A390" s="488" t="s">
        <v>601</v>
      </c>
      <c r="B390" s="353" t="s">
        <v>602</v>
      </c>
      <c r="C390" s="547">
        <v>1</v>
      </c>
      <c r="D390" s="547">
        <v>1</v>
      </c>
      <c r="E390" s="530">
        <f>+D390/C390</f>
        <v>1</v>
      </c>
      <c r="F390" s="604" t="s">
        <v>603</v>
      </c>
      <c r="G390" s="534"/>
      <c r="H390" s="547">
        <v>2</v>
      </c>
      <c r="I390" s="664">
        <f>D390</f>
        <v>1</v>
      </c>
      <c r="J390" s="541">
        <f>+I390/H390</f>
        <v>0.5</v>
      </c>
      <c r="K390" s="637">
        <v>0.15</v>
      </c>
      <c r="L390" s="637">
        <v>0.15</v>
      </c>
      <c r="M390" s="685"/>
      <c r="N390" s="685"/>
      <c r="O390" s="677"/>
      <c r="P390" s="348"/>
      <c r="Q390" s="685"/>
      <c r="R390" s="677"/>
      <c r="S390" s="349"/>
      <c r="T390" s="484"/>
      <c r="U390" s="485"/>
      <c r="V390" s="486"/>
    </row>
    <row r="391" spans="1:22" ht="26.25" outlineLevel="1" thickBot="1">
      <c r="A391" s="504" t="s">
        <v>604</v>
      </c>
      <c r="B391" s="510"/>
      <c r="C391" s="548"/>
      <c r="D391" s="548"/>
      <c r="E391" s="549">
        <f>+E392*$K$392</f>
        <v>1</v>
      </c>
      <c r="F391" s="617"/>
      <c r="G391" s="549"/>
      <c r="H391" s="548"/>
      <c r="I391" s="666"/>
      <c r="J391" s="549">
        <f>+J392*$L$392</f>
        <v>0.19027777777777777</v>
      </c>
      <c r="K391" s="635">
        <v>0.1</v>
      </c>
      <c r="L391" s="635">
        <v>0.1</v>
      </c>
      <c r="M391" s="687">
        <f>+SUM(M392)</f>
        <v>400000000</v>
      </c>
      <c r="N391" s="687">
        <f>+SUM(N392)</f>
        <v>313482364.75</v>
      </c>
      <c r="O391" s="536">
        <f>+N391/M391</f>
        <v>0.78370591187500005</v>
      </c>
      <c r="P391" s="687">
        <f>+SUM(P392)</f>
        <v>2000000000</v>
      </c>
      <c r="Q391" s="687">
        <f>+SUM(Q392)</f>
        <v>313482364.75</v>
      </c>
      <c r="R391" s="536">
        <f>+Q391/P391</f>
        <v>0.15674118237500001</v>
      </c>
      <c r="S391" s="505"/>
      <c r="T391" s="507"/>
      <c r="U391" s="508"/>
      <c r="V391" s="509"/>
    </row>
    <row r="392" spans="1:22" outlineLevel="2">
      <c r="A392" s="512" t="s">
        <v>605</v>
      </c>
      <c r="B392" s="513"/>
      <c r="C392" s="550"/>
      <c r="D392" s="550"/>
      <c r="E392" s="540">
        <f>+E394*$K$394+E396*$K$396+E398*$K$398+E400*$K$400</f>
        <v>1</v>
      </c>
      <c r="F392" s="618"/>
      <c r="G392" s="540"/>
      <c r="H392" s="550"/>
      <c r="I392" s="667"/>
      <c r="J392" s="540">
        <f>+J394*$L$394+J396*$L$396+J398*$L$398+J400*$L$400</f>
        <v>0.19027777777777777</v>
      </c>
      <c r="K392" s="636">
        <v>1</v>
      </c>
      <c r="L392" s="636">
        <v>1</v>
      </c>
      <c r="M392" s="685">
        <f>+SUM(M393:M400)</f>
        <v>400000000</v>
      </c>
      <c r="N392" s="685">
        <f>+SUM(N393:N400)</f>
        <v>313482364.75</v>
      </c>
      <c r="O392" s="673">
        <f>+N392/M392</f>
        <v>0.78370591187500005</v>
      </c>
      <c r="P392" s="685">
        <f>+SUM(P393:P400)</f>
        <v>2000000000</v>
      </c>
      <c r="Q392" s="685">
        <f>+SUM(Q393:Q400)</f>
        <v>313482364.75</v>
      </c>
      <c r="R392" s="673">
        <f>+Q392/P392</f>
        <v>0.15674118237500001</v>
      </c>
      <c r="S392" s="487"/>
      <c r="T392" s="480"/>
      <c r="U392" s="481"/>
      <c r="V392" s="482"/>
    </row>
    <row r="393" spans="1:22" ht="25.5" outlineLevel="3">
      <c r="A393" s="342" t="s">
        <v>606</v>
      </c>
      <c r="B393" s="353"/>
      <c r="C393" s="547"/>
      <c r="D393" s="547"/>
      <c r="E393" s="547"/>
      <c r="F393" s="604"/>
      <c r="G393" s="534"/>
      <c r="H393" s="547"/>
      <c r="I393" s="664"/>
      <c r="J393" s="541"/>
      <c r="K393" s="637"/>
      <c r="L393" s="637"/>
      <c r="M393" s="685">
        <v>100000000</v>
      </c>
      <c r="N393" s="685">
        <v>87791455.5</v>
      </c>
      <c r="O393" s="673">
        <f>+N393/M393</f>
        <v>0.87791455500000004</v>
      </c>
      <c r="P393" s="771">
        <v>500000000</v>
      </c>
      <c r="Q393" s="685">
        <v>87791455.5</v>
      </c>
      <c r="R393" s="673">
        <f>+Q393/P393</f>
        <v>0.17558291100000001</v>
      </c>
      <c r="S393" s="349"/>
      <c r="T393" s="484"/>
      <c r="U393" s="485"/>
      <c r="V393" s="486"/>
    </row>
    <row r="394" spans="1:22" ht="47.65" customHeight="1" outlineLevel="3">
      <c r="A394" s="342" t="s">
        <v>607</v>
      </c>
      <c r="B394" s="353" t="s">
        <v>280</v>
      </c>
      <c r="C394" s="547">
        <v>4</v>
      </c>
      <c r="D394" s="547">
        <v>4</v>
      </c>
      <c r="E394" s="541">
        <f>+D394/C394</f>
        <v>1</v>
      </c>
      <c r="F394" s="604" t="s">
        <v>608</v>
      </c>
      <c r="G394" s="534"/>
      <c r="H394" s="547">
        <v>20</v>
      </c>
      <c r="I394" s="664">
        <f>D394</f>
        <v>4</v>
      </c>
      <c r="J394" s="541">
        <f>+I394/H394</f>
        <v>0.2</v>
      </c>
      <c r="K394" s="637">
        <v>0.25</v>
      </c>
      <c r="L394" s="637">
        <v>0.25</v>
      </c>
      <c r="M394" s="685"/>
      <c r="N394" s="685"/>
      <c r="O394" s="677"/>
      <c r="P394" s="348"/>
      <c r="Q394" s="685"/>
      <c r="R394" s="677"/>
      <c r="S394" s="349"/>
      <c r="T394" s="484"/>
      <c r="U394" s="485"/>
      <c r="V394" s="486"/>
    </row>
    <row r="395" spans="1:22" outlineLevel="3">
      <c r="A395" s="342" t="s">
        <v>609</v>
      </c>
      <c r="B395" s="353"/>
      <c r="C395" s="541"/>
      <c r="D395" s="547"/>
      <c r="E395" s="547"/>
      <c r="F395" s="604"/>
      <c r="G395" s="534"/>
      <c r="H395" s="547"/>
      <c r="I395" s="664"/>
      <c r="J395" s="541"/>
      <c r="K395" s="637"/>
      <c r="L395" s="637"/>
      <c r="M395" s="685">
        <v>100000000</v>
      </c>
      <c r="N395" s="685">
        <v>70200000</v>
      </c>
      <c r="O395" s="673">
        <f>+N395/M395</f>
        <v>0.70199999999999996</v>
      </c>
      <c r="P395" s="771">
        <v>500000000</v>
      </c>
      <c r="Q395" s="685">
        <v>70200000</v>
      </c>
      <c r="R395" s="673">
        <f>+Q395/P395</f>
        <v>0.1404</v>
      </c>
      <c r="S395" s="349"/>
      <c r="T395" s="484"/>
      <c r="U395" s="485"/>
      <c r="V395" s="486"/>
    </row>
    <row r="396" spans="1:22" ht="38.25" outlineLevel="3">
      <c r="A396" s="342" t="s">
        <v>610</v>
      </c>
      <c r="B396" s="353" t="s">
        <v>92</v>
      </c>
      <c r="C396" s="556">
        <v>0.1</v>
      </c>
      <c r="D396" s="556">
        <v>0.1</v>
      </c>
      <c r="E396" s="569">
        <f>+D396/C396</f>
        <v>1</v>
      </c>
      <c r="F396" s="604" t="s">
        <v>611</v>
      </c>
      <c r="G396" s="534"/>
      <c r="H396" s="541">
        <v>0.4</v>
      </c>
      <c r="I396" s="558">
        <f>D396</f>
        <v>0.1</v>
      </c>
      <c r="J396" s="541">
        <f>+I396/H396</f>
        <v>0.25</v>
      </c>
      <c r="K396" s="637">
        <v>0.25</v>
      </c>
      <c r="L396" s="637">
        <v>0.25</v>
      </c>
      <c r="M396" s="685"/>
      <c r="N396" s="685"/>
      <c r="O396" s="677"/>
      <c r="P396" s="348"/>
      <c r="Q396" s="685"/>
      <c r="R396" s="677"/>
      <c r="S396" s="349"/>
      <c r="T396" s="484"/>
      <c r="U396" s="485"/>
      <c r="V396" s="486"/>
    </row>
    <row r="397" spans="1:22" ht="25.5" outlineLevel="3">
      <c r="A397" s="342" t="s">
        <v>612</v>
      </c>
      <c r="B397" s="353"/>
      <c r="C397" s="547"/>
      <c r="D397" s="547"/>
      <c r="E397" s="547"/>
      <c r="F397" s="604"/>
      <c r="G397" s="534"/>
      <c r="H397" s="547"/>
      <c r="I397" s="664"/>
      <c r="J397" s="541"/>
      <c r="K397" s="637"/>
      <c r="L397" s="637"/>
      <c r="M397" s="685">
        <v>100000000</v>
      </c>
      <c r="N397" s="685">
        <v>93190909.25</v>
      </c>
      <c r="O397" s="673">
        <f>+N397/M397</f>
        <v>0.93190909249999998</v>
      </c>
      <c r="P397" s="771">
        <v>500000000</v>
      </c>
      <c r="Q397" s="685">
        <v>93190909.25</v>
      </c>
      <c r="R397" s="673">
        <f>+Q397/P397</f>
        <v>0.18638181849999999</v>
      </c>
      <c r="S397" s="349"/>
      <c r="T397" s="484"/>
      <c r="U397" s="485"/>
      <c r="V397" s="486"/>
    </row>
    <row r="398" spans="1:22" ht="42.75" customHeight="1" outlineLevel="3">
      <c r="A398" s="342" t="s">
        <v>613</v>
      </c>
      <c r="B398" s="353" t="s">
        <v>366</v>
      </c>
      <c r="C398" s="547">
        <v>2</v>
      </c>
      <c r="D398" s="547">
        <v>2</v>
      </c>
      <c r="E398" s="541">
        <f>+D398/C398</f>
        <v>1</v>
      </c>
      <c r="F398" s="604" t="s">
        <v>614</v>
      </c>
      <c r="G398" s="534"/>
      <c r="H398" s="547">
        <v>18</v>
      </c>
      <c r="I398" s="664">
        <f>D398</f>
        <v>2</v>
      </c>
      <c r="J398" s="541">
        <f>+I398/H398</f>
        <v>0.1111111111111111</v>
      </c>
      <c r="K398" s="637">
        <v>0.25</v>
      </c>
      <c r="L398" s="637">
        <v>0.25</v>
      </c>
      <c r="M398" s="685"/>
      <c r="N398" s="685"/>
      <c r="O398" s="677"/>
      <c r="P398" s="348"/>
      <c r="Q398" s="685"/>
      <c r="R398" s="677"/>
      <c r="S398" s="349"/>
      <c r="T398" s="484"/>
      <c r="U398" s="485"/>
      <c r="V398" s="486"/>
    </row>
    <row r="399" spans="1:22" outlineLevel="3">
      <c r="A399" s="342" t="s">
        <v>615</v>
      </c>
      <c r="B399" s="353"/>
      <c r="C399" s="547"/>
      <c r="D399" s="547"/>
      <c r="E399" s="547"/>
      <c r="F399" s="604"/>
      <c r="G399" s="534"/>
      <c r="H399" s="547"/>
      <c r="I399" s="664"/>
      <c r="J399" s="541"/>
      <c r="K399" s="637"/>
      <c r="L399" s="637"/>
      <c r="M399" s="685">
        <v>100000000</v>
      </c>
      <c r="N399" s="685">
        <v>62300000</v>
      </c>
      <c r="O399" s="673">
        <f>+N399/M399</f>
        <v>0.623</v>
      </c>
      <c r="P399" s="771">
        <v>500000000</v>
      </c>
      <c r="Q399" s="685">
        <v>62300000</v>
      </c>
      <c r="R399" s="673">
        <f>+Q399/P399</f>
        <v>0.1246</v>
      </c>
      <c r="S399" s="349"/>
      <c r="T399" s="484"/>
      <c r="U399" s="485"/>
      <c r="V399" s="486"/>
    </row>
    <row r="400" spans="1:22" ht="47.25" customHeight="1" outlineLevel="3" thickBot="1">
      <c r="A400" s="488" t="s">
        <v>616</v>
      </c>
      <c r="B400" s="353" t="s">
        <v>617</v>
      </c>
      <c r="C400" s="547">
        <v>1000</v>
      </c>
      <c r="D400" s="547">
        <v>1000</v>
      </c>
      <c r="E400" s="541">
        <f>+D400/C400</f>
        <v>1</v>
      </c>
      <c r="F400" s="604" t="s">
        <v>618</v>
      </c>
      <c r="G400" s="534"/>
      <c r="H400" s="547">
        <v>5000</v>
      </c>
      <c r="I400" s="664">
        <f>D400</f>
        <v>1000</v>
      </c>
      <c r="J400" s="541">
        <f>+I400/H400</f>
        <v>0.2</v>
      </c>
      <c r="K400" s="637">
        <v>0.25</v>
      </c>
      <c r="L400" s="637">
        <v>0.25</v>
      </c>
      <c r="M400" s="685"/>
      <c r="N400" s="685"/>
      <c r="O400" s="677"/>
      <c r="P400" s="348"/>
      <c r="Q400" s="685"/>
      <c r="R400" s="677"/>
      <c r="S400" s="349"/>
      <c r="T400" s="484"/>
      <c r="U400" s="485"/>
      <c r="V400" s="486"/>
    </row>
    <row r="401" spans="1:22" ht="26.25" outlineLevel="1" thickBot="1">
      <c r="A401" s="504" t="s">
        <v>619</v>
      </c>
      <c r="B401" s="510"/>
      <c r="C401" s="548"/>
      <c r="D401" s="548"/>
      <c r="E401" s="549">
        <f>+E402*$K$402</f>
        <v>1</v>
      </c>
      <c r="F401" s="617"/>
      <c r="G401" s="549"/>
      <c r="H401" s="548"/>
      <c r="I401" s="666"/>
      <c r="J401" s="549">
        <f>+J402*$L$402</f>
        <v>7.4999999999999997E-2</v>
      </c>
      <c r="K401" s="635">
        <v>0.1</v>
      </c>
      <c r="L401" s="635">
        <v>0.1</v>
      </c>
      <c r="M401" s="687">
        <f>+SUM(M402)</f>
        <v>292500000</v>
      </c>
      <c r="N401" s="687">
        <f>+SUM(N402)</f>
        <v>92700000</v>
      </c>
      <c r="O401" s="536">
        <f>+N401/M401</f>
        <v>0.31692307692307692</v>
      </c>
      <c r="P401" s="687">
        <f>+SUM(P402)</f>
        <v>1350000000</v>
      </c>
      <c r="Q401" s="687">
        <f>+SUM(Q402)</f>
        <v>92700000</v>
      </c>
      <c r="R401" s="536">
        <f>+Q401/P401</f>
        <v>6.8666666666666668E-2</v>
      </c>
      <c r="S401" s="505"/>
      <c r="T401" s="507"/>
      <c r="U401" s="508"/>
      <c r="V401" s="509"/>
    </row>
    <row r="402" spans="1:22" outlineLevel="2">
      <c r="A402" s="512" t="s">
        <v>620</v>
      </c>
      <c r="B402" s="513"/>
      <c r="C402" s="550"/>
      <c r="D402" s="550"/>
      <c r="E402" s="595">
        <f>+E404*$K$404+E406*$K$406+E408*$K$408</f>
        <v>1</v>
      </c>
      <c r="F402" s="618"/>
      <c r="G402" s="595"/>
      <c r="H402" s="550"/>
      <c r="I402" s="667"/>
      <c r="J402" s="595">
        <f>+J404*$L$404+J406*$L$406+J408*$L$408</f>
        <v>7.4999999999999997E-2</v>
      </c>
      <c r="K402" s="636">
        <v>1</v>
      </c>
      <c r="L402" s="636">
        <v>1</v>
      </c>
      <c r="M402" s="685">
        <f>+SUM(M403:M408)</f>
        <v>292500000</v>
      </c>
      <c r="N402" s="685">
        <f>+SUM(N403:N408)</f>
        <v>92700000</v>
      </c>
      <c r="O402" s="673">
        <f>+N402/M402</f>
        <v>0.31692307692307692</v>
      </c>
      <c r="P402" s="685">
        <f>+SUM(P403:P408)</f>
        <v>1350000000</v>
      </c>
      <c r="Q402" s="685">
        <f>+SUM(Q403:Q408)</f>
        <v>92700000</v>
      </c>
      <c r="R402" s="673">
        <f>+Q402/P402</f>
        <v>6.8666666666666668E-2</v>
      </c>
      <c r="S402" s="487"/>
      <c r="T402" s="480"/>
      <c r="U402" s="481"/>
      <c r="V402" s="482"/>
    </row>
    <row r="403" spans="1:22" ht="25.5" outlineLevel="3">
      <c r="A403" s="342" t="s">
        <v>621</v>
      </c>
      <c r="B403" s="353"/>
      <c r="C403" s="547"/>
      <c r="D403" s="547"/>
      <c r="E403" s="547"/>
      <c r="F403" s="604"/>
      <c r="G403" s="534"/>
      <c r="H403" s="547"/>
      <c r="I403" s="664"/>
      <c r="J403" s="541"/>
      <c r="K403" s="637"/>
      <c r="L403" s="637"/>
      <c r="M403" s="685">
        <v>150000000</v>
      </c>
      <c r="N403" s="685">
        <v>0</v>
      </c>
      <c r="O403" s="673">
        <f>+N403/M403</f>
        <v>0</v>
      </c>
      <c r="P403" s="771">
        <v>625000000</v>
      </c>
      <c r="Q403" s="685">
        <v>0</v>
      </c>
      <c r="R403" s="673">
        <f>+Q403/P403</f>
        <v>0</v>
      </c>
      <c r="S403" s="349"/>
      <c r="T403" s="484"/>
      <c r="U403" s="485"/>
      <c r="V403" s="486"/>
    </row>
    <row r="404" spans="1:22" outlineLevel="3">
      <c r="A404" s="342" t="s">
        <v>622</v>
      </c>
      <c r="B404" s="353" t="s">
        <v>156</v>
      </c>
      <c r="C404" s="547">
        <v>0</v>
      </c>
      <c r="D404" s="547">
        <v>0</v>
      </c>
      <c r="E404" s="528">
        <v>0</v>
      </c>
      <c r="F404" s="604"/>
      <c r="G404" s="534"/>
      <c r="H404" s="547">
        <v>2</v>
      </c>
      <c r="I404" s="664">
        <f>D404</f>
        <v>0</v>
      </c>
      <c r="J404" s="541">
        <f>+I404/H404</f>
        <v>0</v>
      </c>
      <c r="K404" s="637">
        <v>0</v>
      </c>
      <c r="L404" s="637">
        <v>0.4</v>
      </c>
      <c r="M404" s="685"/>
      <c r="N404" s="685"/>
      <c r="O404" s="677"/>
      <c r="P404" s="348"/>
      <c r="Q404" s="685"/>
      <c r="R404" s="677"/>
      <c r="S404" s="349"/>
      <c r="T404" s="484"/>
      <c r="U404" s="485"/>
      <c r="V404" s="486"/>
    </row>
    <row r="405" spans="1:22" ht="25.5" outlineLevel="3">
      <c r="A405" s="342" t="s">
        <v>623</v>
      </c>
      <c r="B405" s="353"/>
      <c r="C405" s="547"/>
      <c r="D405" s="547"/>
      <c r="E405" s="547"/>
      <c r="F405" s="604"/>
      <c r="G405" s="534"/>
      <c r="H405" s="547"/>
      <c r="I405" s="664"/>
      <c r="J405" s="541"/>
      <c r="K405" s="637"/>
      <c r="L405" s="637"/>
      <c r="M405" s="685">
        <v>142500000</v>
      </c>
      <c r="N405" s="685">
        <v>92700000</v>
      </c>
      <c r="O405" s="673">
        <f>+N405/M405</f>
        <v>0.65052631578947373</v>
      </c>
      <c r="P405" s="771">
        <v>625000000</v>
      </c>
      <c r="Q405" s="685">
        <v>92700000</v>
      </c>
      <c r="R405" s="673">
        <f>+Q405/P405</f>
        <v>0.14832000000000001</v>
      </c>
      <c r="S405" s="349"/>
      <c r="T405" s="484"/>
      <c r="U405" s="485"/>
      <c r="V405" s="486"/>
    </row>
    <row r="406" spans="1:22" ht="63.75" outlineLevel="3">
      <c r="A406" s="342" t="s">
        <v>624</v>
      </c>
      <c r="B406" s="353" t="s">
        <v>92</v>
      </c>
      <c r="C406" s="556">
        <v>1</v>
      </c>
      <c r="D406" s="556">
        <v>1</v>
      </c>
      <c r="E406" s="541">
        <f>+D406/C406</f>
        <v>1</v>
      </c>
      <c r="F406" s="604" t="s">
        <v>625</v>
      </c>
      <c r="G406" s="534"/>
      <c r="H406" s="541">
        <v>1</v>
      </c>
      <c r="I406" s="558">
        <f>D406*0.25</f>
        <v>0.25</v>
      </c>
      <c r="J406" s="541">
        <f>+I406/H406</f>
        <v>0.25</v>
      </c>
      <c r="K406" s="637">
        <v>1</v>
      </c>
      <c r="L406" s="637">
        <v>0.3</v>
      </c>
      <c r="M406" s="685"/>
      <c r="N406" s="685"/>
      <c r="O406" s="677"/>
      <c r="P406" s="348"/>
      <c r="Q406" s="685"/>
      <c r="R406" s="677"/>
      <c r="S406" s="349"/>
      <c r="T406" s="484"/>
      <c r="U406" s="485"/>
      <c r="V406" s="486"/>
    </row>
    <row r="407" spans="1:22" ht="25.5" outlineLevel="3">
      <c r="A407" s="342" t="s">
        <v>626</v>
      </c>
      <c r="B407" s="353"/>
      <c r="C407" s="547"/>
      <c r="D407" s="547"/>
      <c r="E407" s="547"/>
      <c r="F407" s="604"/>
      <c r="G407" s="534"/>
      <c r="H407" s="547"/>
      <c r="I407" s="664"/>
      <c r="J407" s="541"/>
      <c r="K407" s="637"/>
      <c r="L407" s="637"/>
      <c r="M407" s="685">
        <v>0</v>
      </c>
      <c r="N407" s="685">
        <v>0</v>
      </c>
      <c r="O407" s="677"/>
      <c r="P407" s="348">
        <v>100000000</v>
      </c>
      <c r="Q407" s="685">
        <v>0</v>
      </c>
      <c r="R407" s="673">
        <f>+Q407/P407</f>
        <v>0</v>
      </c>
      <c r="S407" s="349"/>
      <c r="T407" s="484"/>
      <c r="U407" s="485"/>
      <c r="V407" s="486"/>
    </row>
    <row r="408" spans="1:22" ht="21" customHeight="1" outlineLevel="3" thickBot="1">
      <c r="A408" s="488" t="s">
        <v>627</v>
      </c>
      <c r="B408" s="353" t="s">
        <v>628</v>
      </c>
      <c r="C408" s="547">
        <v>0</v>
      </c>
      <c r="D408" s="547">
        <v>0</v>
      </c>
      <c r="E408" s="528">
        <v>0</v>
      </c>
      <c r="F408" s="604"/>
      <c r="G408" s="534"/>
      <c r="H408" s="547">
        <v>1</v>
      </c>
      <c r="I408" s="664">
        <f>D408</f>
        <v>0</v>
      </c>
      <c r="J408" s="541">
        <f>+I408/H408</f>
        <v>0</v>
      </c>
      <c r="K408" s="637">
        <v>0</v>
      </c>
      <c r="L408" s="637">
        <v>0.3</v>
      </c>
      <c r="M408" s="685"/>
      <c r="N408" s="685"/>
      <c r="O408" s="677"/>
      <c r="P408" s="348"/>
      <c r="Q408" s="685"/>
      <c r="R408" s="677"/>
      <c r="S408" s="349"/>
      <c r="T408" s="484"/>
      <c r="U408" s="485"/>
      <c r="V408" s="486"/>
    </row>
    <row r="409" spans="1:22" ht="13.5" outlineLevel="1" thickBot="1">
      <c r="A409" s="504" t="s">
        <v>629</v>
      </c>
      <c r="B409" s="510"/>
      <c r="C409" s="548"/>
      <c r="D409" s="548"/>
      <c r="E409" s="549">
        <f>+E410*$K$410+E421*$K$421</f>
        <v>0.87800000000000011</v>
      </c>
      <c r="F409" s="617"/>
      <c r="G409" s="549"/>
      <c r="H409" s="548"/>
      <c r="I409" s="666"/>
      <c r="J409" s="549">
        <f>+J410*$L$410+J421*$L$421</f>
        <v>0.15575</v>
      </c>
      <c r="K409" s="635">
        <v>0.1</v>
      </c>
      <c r="L409" s="635">
        <v>0.1</v>
      </c>
      <c r="M409" s="687">
        <f>+SUM(M410,M421)</f>
        <v>526500000</v>
      </c>
      <c r="N409" s="687">
        <f>+SUM(N410,N421)</f>
        <v>163061300</v>
      </c>
      <c r="O409" s="536">
        <f>+N409/M409</f>
        <v>0.30970807217473884</v>
      </c>
      <c r="P409" s="687">
        <f>+SUM(P410,P421)</f>
        <v>3646000000</v>
      </c>
      <c r="Q409" s="687">
        <f>+SUM(Q410,Q421)</f>
        <v>163061300</v>
      </c>
      <c r="R409" s="536">
        <f>+Q409/P409</f>
        <v>4.4723340647284698E-2</v>
      </c>
      <c r="S409" s="505"/>
      <c r="T409" s="507"/>
      <c r="U409" s="508"/>
      <c r="V409" s="509"/>
    </row>
    <row r="410" spans="1:22" outlineLevel="2">
      <c r="A410" s="512" t="s">
        <v>630</v>
      </c>
      <c r="B410" s="513"/>
      <c r="C410" s="550"/>
      <c r="D410" s="550"/>
      <c r="E410" s="595">
        <f>+E412*$K$412+E414*$K$414+E416*$K$416+E418*$K$418+E420*$K$420</f>
        <v>0.85</v>
      </c>
      <c r="F410" s="618"/>
      <c r="G410" s="595"/>
      <c r="H410" s="550"/>
      <c r="I410" s="667"/>
      <c r="J410" s="595">
        <f>+J412*$L$412+J414*$L$414+J416*$L$416+J418*$L$418+J420*$L$420</f>
        <v>0.10625</v>
      </c>
      <c r="K410" s="636">
        <v>0.6</v>
      </c>
      <c r="L410" s="636">
        <v>0.6</v>
      </c>
      <c r="M410" s="685">
        <f>+SUM(M411:M420)</f>
        <v>334000000</v>
      </c>
      <c r="N410" s="685">
        <f>+SUM(N411:N420)</f>
        <v>105061300</v>
      </c>
      <c r="O410" s="673">
        <f>+N410/M410</f>
        <v>0.31455479041916168</v>
      </c>
      <c r="P410" s="685">
        <f>+SUM(P411:P420)</f>
        <v>2096000000</v>
      </c>
      <c r="Q410" s="685">
        <f>+SUM(Q411:Q420)</f>
        <v>105061300</v>
      </c>
      <c r="R410" s="673">
        <f>+Q410/P410</f>
        <v>5.0124666030534351E-2</v>
      </c>
      <c r="S410" s="487"/>
      <c r="T410" s="480"/>
      <c r="U410" s="481"/>
      <c r="V410" s="482"/>
    </row>
    <row r="411" spans="1:22" ht="25.5" outlineLevel="3">
      <c r="A411" s="342" t="s">
        <v>631</v>
      </c>
      <c r="B411" s="353"/>
      <c r="C411" s="547"/>
      <c r="D411" s="547"/>
      <c r="E411" s="547"/>
      <c r="F411" s="604"/>
      <c r="G411" s="534"/>
      <c r="H411" s="547"/>
      <c r="I411" s="664"/>
      <c r="J411" s="541"/>
      <c r="K411" s="637"/>
      <c r="L411" s="637"/>
      <c r="M411" s="685">
        <v>180000000</v>
      </c>
      <c r="N411" s="685">
        <v>105061300</v>
      </c>
      <c r="O411" s="673">
        <f>+N411/M411</f>
        <v>0.58367388888888894</v>
      </c>
      <c r="P411" s="771">
        <v>474000000</v>
      </c>
      <c r="Q411" s="685">
        <v>105061300</v>
      </c>
      <c r="R411" s="673">
        <f>+Q411/P411</f>
        <v>0.22164831223628692</v>
      </c>
      <c r="S411" s="349"/>
      <c r="T411" s="484"/>
      <c r="U411" s="485"/>
      <c r="V411" s="486"/>
    </row>
    <row r="412" spans="1:22" ht="40.5" customHeight="1" outlineLevel="3">
      <c r="A412" s="342" t="s">
        <v>632</v>
      </c>
      <c r="B412" s="353" t="s">
        <v>92</v>
      </c>
      <c r="C412" s="556">
        <v>1</v>
      </c>
      <c r="D412" s="556">
        <v>0.7</v>
      </c>
      <c r="E412" s="541">
        <f>+D412/C412</f>
        <v>0.7</v>
      </c>
      <c r="F412" s="604" t="s">
        <v>633</v>
      </c>
      <c r="G412" s="534"/>
      <c r="H412" s="556">
        <v>1</v>
      </c>
      <c r="I412" s="558">
        <f>D412*0.25</f>
        <v>0.17499999999999999</v>
      </c>
      <c r="J412" s="541">
        <f>+I412/H412</f>
        <v>0.17499999999999999</v>
      </c>
      <c r="K412" s="637">
        <v>0.5</v>
      </c>
      <c r="L412" s="637">
        <v>0.25</v>
      </c>
      <c r="M412" s="685"/>
      <c r="N412" s="685"/>
      <c r="O412" s="677"/>
      <c r="P412" s="348"/>
      <c r="Q412" s="685"/>
      <c r="R412" s="677"/>
      <c r="S412" s="349"/>
      <c r="T412" s="484"/>
      <c r="U412" s="485"/>
      <c r="V412" s="486"/>
    </row>
    <row r="413" spans="1:22" outlineLevel="3">
      <c r="A413" s="342" t="s">
        <v>634</v>
      </c>
      <c r="B413" s="353"/>
      <c r="C413" s="547"/>
      <c r="D413" s="547"/>
      <c r="E413" s="547"/>
      <c r="F413" s="604"/>
      <c r="G413" s="534"/>
      <c r="H413" s="547"/>
      <c r="I413" s="664"/>
      <c r="J413" s="541"/>
      <c r="K413" s="637"/>
      <c r="L413" s="637"/>
      <c r="M413" s="685">
        <v>54000000</v>
      </c>
      <c r="N413" s="685">
        <v>0</v>
      </c>
      <c r="O413" s="673">
        <f>+N413/M413</f>
        <v>0</v>
      </c>
      <c r="P413" s="771">
        <v>474000000</v>
      </c>
      <c r="Q413" s="685">
        <v>0</v>
      </c>
      <c r="R413" s="673">
        <f>+Q413/P413</f>
        <v>0</v>
      </c>
      <c r="S413" s="349"/>
      <c r="T413" s="484"/>
      <c r="U413" s="485"/>
      <c r="V413" s="486"/>
    </row>
    <row r="414" spans="1:22" ht="49.5" customHeight="1" outlineLevel="3">
      <c r="A414" s="342" t="s">
        <v>635</v>
      </c>
      <c r="B414" s="353" t="s">
        <v>92</v>
      </c>
      <c r="C414" s="556">
        <v>1</v>
      </c>
      <c r="D414" s="556">
        <v>1</v>
      </c>
      <c r="E414" s="541">
        <f>+D414/C414</f>
        <v>1</v>
      </c>
      <c r="F414" s="604" t="s">
        <v>636</v>
      </c>
      <c r="G414" s="534"/>
      <c r="H414" s="556">
        <v>1</v>
      </c>
      <c r="I414" s="558">
        <f>D414*0.25</f>
        <v>0.25</v>
      </c>
      <c r="J414" s="541">
        <f>+I414/H414</f>
        <v>0.25</v>
      </c>
      <c r="K414" s="637">
        <v>0.5</v>
      </c>
      <c r="L414" s="637">
        <v>0.25</v>
      </c>
      <c r="M414" s="685"/>
      <c r="N414" s="685"/>
      <c r="O414" s="677"/>
      <c r="P414" s="348"/>
      <c r="Q414" s="685"/>
      <c r="R414" s="677"/>
      <c r="S414" s="349"/>
      <c r="T414" s="484"/>
      <c r="U414" s="485"/>
      <c r="V414" s="486"/>
    </row>
    <row r="415" spans="1:22" outlineLevel="3">
      <c r="A415" s="342" t="s">
        <v>637</v>
      </c>
      <c r="B415" s="353"/>
      <c r="C415" s="547"/>
      <c r="D415" s="547"/>
      <c r="E415" s="547"/>
      <c r="F415" s="604"/>
      <c r="G415" s="534"/>
      <c r="H415" s="547"/>
      <c r="I415" s="664"/>
      <c r="J415" s="541"/>
      <c r="K415" s="637"/>
      <c r="L415" s="637"/>
      <c r="M415" s="685">
        <v>50000000</v>
      </c>
      <c r="N415" s="685">
        <v>0</v>
      </c>
      <c r="O415" s="673">
        <f>+N415/M415</f>
        <v>0</v>
      </c>
      <c r="P415" s="771">
        <v>474000000</v>
      </c>
      <c r="Q415" s="685">
        <v>0</v>
      </c>
      <c r="R415" s="673">
        <f>+Q415/P415</f>
        <v>0</v>
      </c>
      <c r="S415" s="349"/>
      <c r="T415" s="484"/>
      <c r="U415" s="485"/>
      <c r="V415" s="486"/>
    </row>
    <row r="416" spans="1:22" outlineLevel="3">
      <c r="A416" s="342" t="s">
        <v>638</v>
      </c>
      <c r="B416" s="353" t="s">
        <v>639</v>
      </c>
      <c r="C416" s="547">
        <v>0</v>
      </c>
      <c r="D416" s="547">
        <v>0</v>
      </c>
      <c r="E416" s="528">
        <v>0</v>
      </c>
      <c r="F416" s="604"/>
      <c r="G416" s="534"/>
      <c r="H416" s="547">
        <v>1</v>
      </c>
      <c r="I416" s="664">
        <f>D416</f>
        <v>0</v>
      </c>
      <c r="J416" s="541">
        <f>+I416/H416</f>
        <v>0</v>
      </c>
      <c r="K416" s="637">
        <v>0</v>
      </c>
      <c r="L416" s="637">
        <v>0.2</v>
      </c>
      <c r="M416" s="685"/>
      <c r="N416" s="685"/>
      <c r="O416" s="677"/>
      <c r="P416" s="348"/>
      <c r="Q416" s="685"/>
      <c r="R416" s="677"/>
      <c r="S416" s="349"/>
      <c r="T416" s="484"/>
      <c r="U416" s="485"/>
      <c r="V416" s="486"/>
    </row>
    <row r="417" spans="1:22" outlineLevel="3">
      <c r="A417" s="342" t="s">
        <v>640</v>
      </c>
      <c r="B417" s="353"/>
      <c r="C417" s="547"/>
      <c r="D417" s="547"/>
      <c r="E417" s="547"/>
      <c r="F417" s="604"/>
      <c r="G417" s="534"/>
      <c r="H417" s="547"/>
      <c r="I417" s="664"/>
      <c r="J417" s="541"/>
      <c r="K417" s="637"/>
      <c r="L417" s="637"/>
      <c r="M417" s="685">
        <v>50000000</v>
      </c>
      <c r="N417" s="685">
        <v>0</v>
      </c>
      <c r="O417" s="673">
        <f>+N417/M417</f>
        <v>0</v>
      </c>
      <c r="P417" s="771">
        <v>474000000</v>
      </c>
      <c r="Q417" s="685">
        <v>0</v>
      </c>
      <c r="R417" s="673">
        <f>+Q417/P417</f>
        <v>0</v>
      </c>
      <c r="S417" s="349"/>
      <c r="T417" s="484"/>
      <c r="U417" s="485"/>
      <c r="V417" s="486"/>
    </row>
    <row r="418" spans="1:22" outlineLevel="3">
      <c r="A418" s="342" t="s">
        <v>638</v>
      </c>
      <c r="B418" s="353" t="s">
        <v>639</v>
      </c>
      <c r="C418" s="547">
        <v>0</v>
      </c>
      <c r="D418" s="547">
        <v>0</v>
      </c>
      <c r="E418" s="528">
        <v>0</v>
      </c>
      <c r="F418" s="604"/>
      <c r="G418" s="534"/>
      <c r="H418" s="547">
        <v>1</v>
      </c>
      <c r="I418" s="664">
        <f>D418</f>
        <v>0</v>
      </c>
      <c r="J418" s="541">
        <f>+I418/H418</f>
        <v>0</v>
      </c>
      <c r="K418" s="637">
        <v>0</v>
      </c>
      <c r="L418" s="637">
        <v>0.2</v>
      </c>
      <c r="M418" s="685"/>
      <c r="N418" s="685"/>
      <c r="O418" s="677"/>
      <c r="P418" s="348"/>
      <c r="Q418" s="685"/>
      <c r="R418" s="677"/>
      <c r="S418" s="349"/>
      <c r="T418" s="484"/>
      <c r="U418" s="485"/>
      <c r="V418" s="486"/>
    </row>
    <row r="419" spans="1:22" ht="25.5" outlineLevel="3">
      <c r="A419" s="342" t="s">
        <v>641</v>
      </c>
      <c r="B419" s="353"/>
      <c r="C419" s="547"/>
      <c r="D419" s="547"/>
      <c r="E419" s="547"/>
      <c r="F419" s="604"/>
      <c r="G419" s="534"/>
      <c r="H419" s="547"/>
      <c r="I419" s="664"/>
      <c r="J419" s="541"/>
      <c r="K419" s="637"/>
      <c r="L419" s="637"/>
      <c r="M419" s="685">
        <v>0</v>
      </c>
      <c r="N419" s="685">
        <v>0</v>
      </c>
      <c r="O419" s="677"/>
      <c r="P419" s="348">
        <v>200000000</v>
      </c>
      <c r="Q419" s="685">
        <v>0</v>
      </c>
      <c r="R419" s="673">
        <f>+Q419/P419</f>
        <v>0</v>
      </c>
      <c r="S419" s="349"/>
      <c r="T419" s="484"/>
      <c r="U419" s="485"/>
      <c r="V419" s="486"/>
    </row>
    <row r="420" spans="1:22" outlineLevel="3">
      <c r="A420" s="342" t="s">
        <v>642</v>
      </c>
      <c r="B420" s="353" t="s">
        <v>170</v>
      </c>
      <c r="C420" s="547">
        <v>0</v>
      </c>
      <c r="D420" s="547">
        <v>0</v>
      </c>
      <c r="E420" s="528">
        <v>0</v>
      </c>
      <c r="F420" s="604"/>
      <c r="G420" s="534"/>
      <c r="H420" s="547">
        <v>3</v>
      </c>
      <c r="I420" s="664">
        <f>D420</f>
        <v>0</v>
      </c>
      <c r="J420" s="541">
        <f>+I420/H420</f>
        <v>0</v>
      </c>
      <c r="K420" s="637">
        <v>0</v>
      </c>
      <c r="L420" s="637">
        <v>0.1</v>
      </c>
      <c r="M420" s="685"/>
      <c r="N420" s="685"/>
      <c r="O420" s="677"/>
      <c r="P420" s="348"/>
      <c r="Q420" s="685"/>
      <c r="R420" s="677"/>
      <c r="S420" s="349"/>
      <c r="T420" s="484"/>
      <c r="U420" s="485"/>
      <c r="V420" s="486"/>
    </row>
    <row r="421" spans="1:22" outlineLevel="2">
      <c r="A421" s="511" t="s">
        <v>643</v>
      </c>
      <c r="B421" s="514"/>
      <c r="C421" s="554"/>
      <c r="D421" s="554"/>
      <c r="E421" s="555">
        <f>+E423*$K$423+E425*$K$425</f>
        <v>0.92</v>
      </c>
      <c r="F421" s="604"/>
      <c r="G421" s="555"/>
      <c r="H421" s="554"/>
      <c r="I421" s="665"/>
      <c r="J421" s="555">
        <f>+J423*$L$423+J425*$L$425</f>
        <v>0.23</v>
      </c>
      <c r="K421" s="638">
        <v>0.4</v>
      </c>
      <c r="L421" s="638">
        <v>0.4</v>
      </c>
      <c r="M421" s="685">
        <f>+SUM(M422:M425)</f>
        <v>192500000</v>
      </c>
      <c r="N421" s="685">
        <f>+SUM(N422:N425)</f>
        <v>58000000</v>
      </c>
      <c r="O421" s="673">
        <f>+N421/M421</f>
        <v>0.30129870129870129</v>
      </c>
      <c r="P421" s="685">
        <f>+SUM(P422:P425)</f>
        <v>1550000000</v>
      </c>
      <c r="Q421" s="685">
        <f>+SUM(Q422:Q425)</f>
        <v>58000000</v>
      </c>
      <c r="R421" s="673">
        <f>+Q421/P421</f>
        <v>3.741935483870968E-2</v>
      </c>
      <c r="S421" s="349"/>
      <c r="T421" s="484"/>
      <c r="U421" s="485"/>
      <c r="V421" s="486"/>
    </row>
    <row r="422" spans="1:22" ht="25.5" outlineLevel="3">
      <c r="A422" s="342" t="s">
        <v>644</v>
      </c>
      <c r="B422" s="353"/>
      <c r="C422" s="547"/>
      <c r="D422" s="547"/>
      <c r="E422" s="547"/>
      <c r="F422" s="604"/>
      <c r="G422" s="534"/>
      <c r="H422" s="547"/>
      <c r="I422" s="664"/>
      <c r="J422" s="541"/>
      <c r="K422" s="637"/>
      <c r="L422" s="637"/>
      <c r="M422" s="685">
        <v>80000000</v>
      </c>
      <c r="N422" s="685">
        <v>12000000</v>
      </c>
      <c r="O422" s="673">
        <f>+N422/M422</f>
        <v>0.15</v>
      </c>
      <c r="P422" s="348">
        <v>1100000000</v>
      </c>
      <c r="Q422" s="685">
        <v>12000000</v>
      </c>
      <c r="R422" s="673">
        <f>+Q422/P422</f>
        <v>1.090909090909091E-2</v>
      </c>
      <c r="S422" s="349"/>
      <c r="T422" s="484"/>
      <c r="U422" s="485"/>
      <c r="V422" s="486"/>
    </row>
    <row r="423" spans="1:22" ht="63.75" outlineLevel="3">
      <c r="A423" s="342" t="s">
        <v>645</v>
      </c>
      <c r="B423" s="353" t="s">
        <v>92</v>
      </c>
      <c r="C423" s="556">
        <v>0.2</v>
      </c>
      <c r="D423" s="556">
        <v>0.2</v>
      </c>
      <c r="E423" s="541">
        <f>+D423/C423</f>
        <v>1</v>
      </c>
      <c r="F423" s="604" t="s">
        <v>646</v>
      </c>
      <c r="G423" s="534"/>
      <c r="H423" s="813">
        <v>1</v>
      </c>
      <c r="I423" s="814">
        <v>0.25</v>
      </c>
      <c r="J423" s="541">
        <f>+I423/H423</f>
        <v>0.25</v>
      </c>
      <c r="K423" s="637">
        <v>0.6</v>
      </c>
      <c r="L423" s="637">
        <v>0.6</v>
      </c>
      <c r="M423" s="685"/>
      <c r="N423" s="685"/>
      <c r="O423" s="677"/>
      <c r="P423" s="348"/>
      <c r="Q423" s="685"/>
      <c r="R423" s="677"/>
      <c r="S423" s="349"/>
      <c r="T423" s="484"/>
      <c r="U423" s="485"/>
      <c r="V423" s="486"/>
    </row>
    <row r="424" spans="1:22" ht="38.25" outlineLevel="3">
      <c r="A424" s="342" t="s">
        <v>647</v>
      </c>
      <c r="B424" s="353"/>
      <c r="C424" s="547"/>
      <c r="D424" s="547"/>
      <c r="E424" s="547"/>
      <c r="F424" s="604"/>
      <c r="G424" s="534"/>
      <c r="H424" s="547"/>
      <c r="I424" s="664"/>
      <c r="J424" s="541"/>
      <c r="K424" s="637"/>
      <c r="L424" s="637"/>
      <c r="M424" s="685">
        <v>112500000</v>
      </c>
      <c r="N424" s="685">
        <v>46000000</v>
      </c>
      <c r="O424" s="673">
        <f>+N424/M424</f>
        <v>0.40888888888888891</v>
      </c>
      <c r="P424" s="348">
        <v>450000000</v>
      </c>
      <c r="Q424" s="685">
        <v>46000000</v>
      </c>
      <c r="R424" s="673">
        <f>+Q424/P424</f>
        <v>0.10222222222222223</v>
      </c>
      <c r="S424" s="349"/>
      <c r="T424" s="484"/>
      <c r="U424" s="485"/>
      <c r="V424" s="486"/>
    </row>
    <row r="425" spans="1:22" ht="13.5" outlineLevel="3" thickBot="1">
      <c r="A425" s="488" t="s">
        <v>648</v>
      </c>
      <c r="B425" s="353" t="s">
        <v>92</v>
      </c>
      <c r="C425" s="556">
        <v>1</v>
      </c>
      <c r="D425" s="556">
        <v>0.8</v>
      </c>
      <c r="E425" s="541">
        <f>+D425/C425</f>
        <v>0.8</v>
      </c>
      <c r="F425" s="604" t="s">
        <v>649</v>
      </c>
      <c r="G425" s="534"/>
      <c r="H425" s="556">
        <v>1</v>
      </c>
      <c r="I425" s="558">
        <f>D425*0.25</f>
        <v>0.2</v>
      </c>
      <c r="J425" s="541">
        <f>+I425/H425</f>
        <v>0.2</v>
      </c>
      <c r="K425" s="637">
        <v>0.4</v>
      </c>
      <c r="L425" s="637">
        <v>0.4</v>
      </c>
      <c r="M425" s="685"/>
      <c r="N425" s="685"/>
      <c r="O425" s="677"/>
      <c r="P425" s="348"/>
      <c r="Q425" s="685"/>
      <c r="R425" s="677"/>
      <c r="S425" s="349"/>
      <c r="T425" s="484"/>
      <c r="U425" s="485"/>
      <c r="V425" s="486"/>
    </row>
    <row r="426" spans="1:22" ht="13.5" outlineLevel="1" thickBot="1">
      <c r="A426" s="504" t="s">
        <v>650</v>
      </c>
      <c r="B426" s="510"/>
      <c r="C426" s="548"/>
      <c r="D426" s="548"/>
      <c r="E426" s="549">
        <f>+E427*$K$427+E436*$K$436+E439*$K$439</f>
        <v>1</v>
      </c>
      <c r="F426" s="617"/>
      <c r="G426" s="549"/>
      <c r="H426" s="548"/>
      <c r="I426" s="666"/>
      <c r="J426" s="549">
        <f>+J427*$L$427+J436*$L$436+J439*$L$439</f>
        <v>0.1875</v>
      </c>
      <c r="K426" s="635">
        <v>0.1</v>
      </c>
      <c r="L426" s="635">
        <v>0.1</v>
      </c>
      <c r="M426" s="687">
        <f>+SUM(M427,M436,M439)</f>
        <v>305000000</v>
      </c>
      <c r="N426" s="687">
        <f>+SUM(N427,N436,N439)</f>
        <v>211626200</v>
      </c>
      <c r="O426" s="536">
        <f>+N426/M426</f>
        <v>0.69385639344262295</v>
      </c>
      <c r="P426" s="687">
        <f>+SUM(P427,P436,P439)</f>
        <v>1750000000</v>
      </c>
      <c r="Q426" s="687">
        <f>+SUM(Q427,Q436,Q439)</f>
        <v>211626200</v>
      </c>
      <c r="R426" s="536">
        <f>+Q426/P426</f>
        <v>0.12092925714285714</v>
      </c>
      <c r="S426" s="505"/>
      <c r="T426" s="507"/>
      <c r="U426" s="508"/>
      <c r="V426" s="509"/>
    </row>
    <row r="427" spans="1:22" outlineLevel="2">
      <c r="A427" s="512" t="s">
        <v>651</v>
      </c>
      <c r="B427" s="513"/>
      <c r="C427" s="550"/>
      <c r="D427" s="550"/>
      <c r="E427" s="551">
        <f>+E429*$K$429+E431*$K$431+E433*$K$433+E435*$K$435</f>
        <v>1</v>
      </c>
      <c r="F427" s="618"/>
      <c r="G427" s="551"/>
      <c r="H427" s="550"/>
      <c r="I427" s="667"/>
      <c r="J427" s="551">
        <f>+J429*$L$429+J431*$L$431+J433*$L$433+J435*$L$435</f>
        <v>0.3125</v>
      </c>
      <c r="K427" s="636">
        <v>1</v>
      </c>
      <c r="L427" s="636">
        <v>0.6</v>
      </c>
      <c r="M427" s="685">
        <f>+SUM(M428:M435)</f>
        <v>250000000</v>
      </c>
      <c r="N427" s="685">
        <f>+SUM(N428:N435)</f>
        <v>201626200</v>
      </c>
      <c r="O427" s="673">
        <f>+N427/M427</f>
        <v>0.80650480000000002</v>
      </c>
      <c r="P427" s="685">
        <f>+SUM(P428:P435)</f>
        <v>1000000000</v>
      </c>
      <c r="Q427" s="685">
        <f>+SUM(Q428:Q435)</f>
        <v>201626200</v>
      </c>
      <c r="R427" s="673">
        <f>+Q427/P427</f>
        <v>0.20162620000000001</v>
      </c>
      <c r="S427" s="487"/>
      <c r="T427" s="480"/>
      <c r="U427" s="481"/>
      <c r="V427" s="482"/>
    </row>
    <row r="428" spans="1:22" outlineLevel="3">
      <c r="A428" s="342" t="s">
        <v>652</v>
      </c>
      <c r="B428" s="353"/>
      <c r="C428" s="547"/>
      <c r="D428" s="547"/>
      <c r="E428" s="547"/>
      <c r="F428" s="604"/>
      <c r="G428" s="534"/>
      <c r="H428" s="547"/>
      <c r="I428" s="664"/>
      <c r="J428" s="541"/>
      <c r="K428" s="637"/>
      <c r="L428" s="637"/>
      <c r="M428" s="685">
        <v>50000000</v>
      </c>
      <c r="N428" s="685">
        <v>40800000</v>
      </c>
      <c r="O428" s="673">
        <f>+N428/M428</f>
        <v>0.81599999999999995</v>
      </c>
      <c r="P428" s="771">
        <v>250000000</v>
      </c>
      <c r="Q428" s="685">
        <v>40800000</v>
      </c>
      <c r="R428" s="673">
        <f>+Q428/P428</f>
        <v>0.16320000000000001</v>
      </c>
      <c r="S428" s="349"/>
      <c r="T428" s="484"/>
      <c r="U428" s="485"/>
      <c r="V428" s="486"/>
    </row>
    <row r="429" spans="1:22" ht="51.75" customHeight="1" outlineLevel="3">
      <c r="A429" s="342" t="s">
        <v>653</v>
      </c>
      <c r="B429" s="353" t="s">
        <v>654</v>
      </c>
      <c r="C429" s="547">
        <v>1</v>
      </c>
      <c r="D429" s="547">
        <v>1</v>
      </c>
      <c r="E429" s="541">
        <f>+D429/C429</f>
        <v>1</v>
      </c>
      <c r="F429" s="604" t="s">
        <v>655</v>
      </c>
      <c r="G429" s="534"/>
      <c r="H429" s="547">
        <v>4</v>
      </c>
      <c r="I429" s="664">
        <f>D429</f>
        <v>1</v>
      </c>
      <c r="J429" s="541">
        <f>+I429/H429</f>
        <v>0.25</v>
      </c>
      <c r="K429" s="637">
        <v>0.5</v>
      </c>
      <c r="L429" s="637">
        <v>0.25</v>
      </c>
      <c r="M429" s="685"/>
      <c r="N429" s="685"/>
      <c r="O429" s="677"/>
      <c r="P429" s="348"/>
      <c r="Q429" s="685"/>
      <c r="R429" s="677"/>
      <c r="S429" s="349"/>
      <c r="T429" s="484"/>
      <c r="U429" s="485"/>
      <c r="V429" s="486"/>
    </row>
    <row r="430" spans="1:22" outlineLevel="3">
      <c r="A430" s="342" t="s">
        <v>656</v>
      </c>
      <c r="B430" s="353"/>
      <c r="C430" s="547"/>
      <c r="D430" s="547"/>
      <c r="E430" s="547"/>
      <c r="F430" s="604"/>
      <c r="G430" s="534"/>
      <c r="H430" s="547"/>
      <c r="I430" s="664"/>
      <c r="J430" s="541"/>
      <c r="K430" s="637"/>
      <c r="L430" s="637"/>
      <c r="M430" s="685">
        <v>50000000</v>
      </c>
      <c r="N430" s="685">
        <v>47326200</v>
      </c>
      <c r="O430" s="673">
        <f>+N430/M430</f>
        <v>0.94652400000000003</v>
      </c>
      <c r="P430" s="771">
        <v>250000000</v>
      </c>
      <c r="Q430" s="685">
        <v>47326200</v>
      </c>
      <c r="R430" s="673">
        <f>+Q430/P430</f>
        <v>0.1893048</v>
      </c>
      <c r="S430" s="349"/>
      <c r="T430" s="484"/>
      <c r="U430" s="485"/>
      <c r="V430" s="486"/>
    </row>
    <row r="431" spans="1:22" ht="49.5" customHeight="1" outlineLevel="3">
      <c r="A431" s="342" t="s">
        <v>657</v>
      </c>
      <c r="B431" s="353" t="s">
        <v>452</v>
      </c>
      <c r="C431" s="547">
        <v>1</v>
      </c>
      <c r="D431" s="547">
        <v>1</v>
      </c>
      <c r="E431" s="541">
        <f>+D431/C431</f>
        <v>1</v>
      </c>
      <c r="F431" s="604" t="s">
        <v>658</v>
      </c>
      <c r="G431" s="534"/>
      <c r="H431" s="547">
        <v>1</v>
      </c>
      <c r="I431" s="664">
        <f>D431</f>
        <v>1</v>
      </c>
      <c r="J431" s="541">
        <f>+I431/H431</f>
        <v>1</v>
      </c>
      <c r="K431" s="637">
        <v>0.5</v>
      </c>
      <c r="L431" s="637">
        <v>0.25</v>
      </c>
      <c r="M431" s="685"/>
      <c r="N431" s="685"/>
      <c r="O431" s="677"/>
      <c r="P431" s="348"/>
      <c r="Q431" s="685"/>
      <c r="R431" s="677"/>
      <c r="S431" s="349"/>
      <c r="T431" s="484"/>
      <c r="U431" s="485"/>
      <c r="V431" s="486"/>
    </row>
    <row r="432" spans="1:22" outlineLevel="3">
      <c r="A432" s="342" t="s">
        <v>659</v>
      </c>
      <c r="B432" s="353"/>
      <c r="C432" s="547"/>
      <c r="D432" s="547"/>
      <c r="E432" s="547"/>
      <c r="F432" s="604"/>
      <c r="G432" s="534"/>
      <c r="H432" s="547"/>
      <c r="I432" s="664"/>
      <c r="J432" s="541"/>
      <c r="K432" s="637"/>
      <c r="L432" s="637"/>
      <c r="M432" s="685">
        <v>75000000</v>
      </c>
      <c r="N432" s="685">
        <v>56750000</v>
      </c>
      <c r="O432" s="673">
        <f>+N432/M432</f>
        <v>0.75666666666666671</v>
      </c>
      <c r="P432" s="771">
        <v>250000000</v>
      </c>
      <c r="Q432" s="685">
        <v>56750000</v>
      </c>
      <c r="R432" s="673">
        <f>+Q432/P432</f>
        <v>0.22700000000000001</v>
      </c>
      <c r="S432" s="349"/>
      <c r="T432" s="484"/>
      <c r="U432" s="485"/>
      <c r="V432" s="486"/>
    </row>
    <row r="433" spans="1:22" outlineLevel="3">
      <c r="A433" s="342" t="s">
        <v>660</v>
      </c>
      <c r="B433" s="353" t="s">
        <v>452</v>
      </c>
      <c r="C433" s="547">
        <v>0</v>
      </c>
      <c r="D433" s="547">
        <v>0</v>
      </c>
      <c r="E433" s="528">
        <v>0</v>
      </c>
      <c r="F433" s="604"/>
      <c r="G433" s="534"/>
      <c r="H433" s="547">
        <v>1</v>
      </c>
      <c r="I433" s="664">
        <f>D433</f>
        <v>0</v>
      </c>
      <c r="J433" s="541">
        <f>+I433/H433</f>
        <v>0</v>
      </c>
      <c r="K433" s="637">
        <v>0</v>
      </c>
      <c r="L433" s="637">
        <v>0.25</v>
      </c>
      <c r="M433" s="685"/>
      <c r="N433" s="685"/>
      <c r="O433" s="677"/>
      <c r="P433" s="348"/>
      <c r="Q433" s="685"/>
      <c r="R433" s="677"/>
      <c r="S433" s="349"/>
      <c r="T433" s="484"/>
      <c r="U433" s="485"/>
      <c r="V433" s="486"/>
    </row>
    <row r="434" spans="1:22" outlineLevel="3">
      <c r="A434" s="342" t="s">
        <v>661</v>
      </c>
      <c r="B434" s="353"/>
      <c r="C434" s="547"/>
      <c r="D434" s="547"/>
      <c r="E434" s="547"/>
      <c r="F434" s="604"/>
      <c r="G434" s="534"/>
      <c r="H434" s="547"/>
      <c r="I434" s="664"/>
      <c r="J434" s="541"/>
      <c r="K434" s="637"/>
      <c r="L434" s="637"/>
      <c r="M434" s="685">
        <v>75000000</v>
      </c>
      <c r="N434" s="685">
        <v>56750000</v>
      </c>
      <c r="O434" s="673">
        <f>+N434/M434</f>
        <v>0.75666666666666671</v>
      </c>
      <c r="P434" s="771">
        <v>250000000</v>
      </c>
      <c r="Q434" s="685">
        <v>56750000</v>
      </c>
      <c r="R434" s="673">
        <f>+Q434/P434</f>
        <v>0.22700000000000001</v>
      </c>
      <c r="S434" s="349"/>
      <c r="T434" s="484"/>
      <c r="U434" s="485"/>
      <c r="V434" s="486"/>
    </row>
    <row r="435" spans="1:22" outlineLevel="3">
      <c r="A435" s="342" t="s">
        <v>662</v>
      </c>
      <c r="B435" s="353" t="s">
        <v>452</v>
      </c>
      <c r="C435" s="547">
        <v>0</v>
      </c>
      <c r="D435" s="547">
        <v>0</v>
      </c>
      <c r="E435" s="528">
        <v>0</v>
      </c>
      <c r="F435" s="604"/>
      <c r="G435" s="534"/>
      <c r="H435" s="547">
        <v>1</v>
      </c>
      <c r="I435" s="664">
        <f>D435</f>
        <v>0</v>
      </c>
      <c r="J435" s="541">
        <f>+I435/H435</f>
        <v>0</v>
      </c>
      <c r="K435" s="637">
        <v>0</v>
      </c>
      <c r="L435" s="637">
        <v>0.25</v>
      </c>
      <c r="M435" s="685"/>
      <c r="N435" s="685"/>
      <c r="O435" s="677"/>
      <c r="P435" s="348"/>
      <c r="Q435" s="685"/>
      <c r="R435" s="677"/>
      <c r="S435" s="349"/>
      <c r="T435" s="484"/>
      <c r="U435" s="485"/>
      <c r="V435" s="486"/>
    </row>
    <row r="436" spans="1:22" outlineLevel="2">
      <c r="A436" s="511" t="s">
        <v>663</v>
      </c>
      <c r="B436" s="514"/>
      <c r="C436" s="554"/>
      <c r="D436" s="554"/>
      <c r="E436" s="551">
        <f>+E438*$K$438</f>
        <v>0</v>
      </c>
      <c r="F436" s="620"/>
      <c r="G436" s="551"/>
      <c r="H436" s="554"/>
      <c r="I436" s="665"/>
      <c r="J436" s="551">
        <f>+J438*$L$438</f>
        <v>0</v>
      </c>
      <c r="K436" s="638">
        <v>0</v>
      </c>
      <c r="L436" s="638">
        <v>0.2</v>
      </c>
      <c r="M436" s="685">
        <f>+SUM(M437:M438)</f>
        <v>55000000</v>
      </c>
      <c r="N436" s="685">
        <f>+SUM(N437:N438)</f>
        <v>10000000</v>
      </c>
      <c r="O436" s="673">
        <f>+N436/M436</f>
        <v>0.18181818181818182</v>
      </c>
      <c r="P436" s="685">
        <f>+SUM(P437:P438)</f>
        <v>300000000</v>
      </c>
      <c r="Q436" s="685">
        <f>+SUM(Q437:Q438)</f>
        <v>10000000</v>
      </c>
      <c r="R436" s="673">
        <f>+Q436/P436</f>
        <v>3.3333333333333333E-2</v>
      </c>
      <c r="S436" s="349"/>
      <c r="T436" s="484"/>
      <c r="U436" s="485"/>
      <c r="V436" s="486"/>
    </row>
    <row r="437" spans="1:22" ht="25.5" outlineLevel="3">
      <c r="A437" s="342" t="s">
        <v>664</v>
      </c>
      <c r="B437" s="353"/>
      <c r="C437" s="547"/>
      <c r="D437" s="547"/>
      <c r="E437" s="547"/>
      <c r="F437" s="604"/>
      <c r="G437" s="534"/>
      <c r="H437" s="547"/>
      <c r="I437" s="664"/>
      <c r="J437" s="541"/>
      <c r="K437" s="637"/>
      <c r="L437" s="637"/>
      <c r="M437" s="685">
        <v>55000000</v>
      </c>
      <c r="N437" s="685">
        <v>10000000</v>
      </c>
      <c r="O437" s="673">
        <f>+N437/M437</f>
        <v>0.18181818181818182</v>
      </c>
      <c r="P437" s="348">
        <v>300000000</v>
      </c>
      <c r="Q437" s="685">
        <v>10000000</v>
      </c>
      <c r="R437" s="673">
        <f>+Q437/P437</f>
        <v>3.3333333333333333E-2</v>
      </c>
      <c r="S437" s="349"/>
      <c r="T437" s="484"/>
      <c r="U437" s="485"/>
      <c r="V437" s="486"/>
    </row>
    <row r="438" spans="1:22" outlineLevel="3">
      <c r="A438" s="342" t="s">
        <v>665</v>
      </c>
      <c r="B438" s="353" t="s">
        <v>666</v>
      </c>
      <c r="C438" s="547">
        <v>0</v>
      </c>
      <c r="D438" s="547">
        <v>0</v>
      </c>
      <c r="E438" s="528">
        <v>0</v>
      </c>
      <c r="F438" s="604"/>
      <c r="G438" s="534"/>
      <c r="H438" s="547">
        <v>1</v>
      </c>
      <c r="I438" s="664">
        <f>D438</f>
        <v>0</v>
      </c>
      <c r="J438" s="541">
        <f>+I438/H438</f>
        <v>0</v>
      </c>
      <c r="K438" s="637">
        <v>0</v>
      </c>
      <c r="L438" s="637">
        <v>1</v>
      </c>
      <c r="M438" s="685"/>
      <c r="N438" s="685"/>
      <c r="O438" s="677"/>
      <c r="P438" s="348"/>
      <c r="Q438" s="685"/>
      <c r="R438" s="677"/>
      <c r="S438" s="349"/>
      <c r="T438" s="484"/>
      <c r="U438" s="485"/>
      <c r="V438" s="486"/>
    </row>
    <row r="439" spans="1:22" outlineLevel="2">
      <c r="A439" s="511" t="s">
        <v>667</v>
      </c>
      <c r="B439" s="514"/>
      <c r="C439" s="554"/>
      <c r="D439" s="554"/>
      <c r="E439" s="551">
        <f>+E441*$K$441</f>
        <v>0</v>
      </c>
      <c r="F439" s="620"/>
      <c r="G439" s="551"/>
      <c r="H439" s="554"/>
      <c r="I439" s="665"/>
      <c r="J439" s="551">
        <f>+J441*$L$441</f>
        <v>0</v>
      </c>
      <c r="K439" s="638">
        <v>0</v>
      </c>
      <c r="L439" s="638">
        <v>0.2</v>
      </c>
      <c r="M439" s="685">
        <f>+SUM(M440:M441)</f>
        <v>0</v>
      </c>
      <c r="N439" s="685">
        <f>+SUM(N440:N441)</f>
        <v>0</v>
      </c>
      <c r="O439" s="673"/>
      <c r="P439" s="685">
        <f>+SUM(P440:P441)</f>
        <v>450000000</v>
      </c>
      <c r="Q439" s="685">
        <f>+SUM(Q440:Q441)</f>
        <v>0</v>
      </c>
      <c r="R439" s="673">
        <f t="shared" ref="R439:R440" si="3">+Q439/P439</f>
        <v>0</v>
      </c>
      <c r="S439" s="349"/>
      <c r="T439" s="484"/>
      <c r="U439" s="485"/>
      <c r="V439" s="486"/>
    </row>
    <row r="440" spans="1:22" ht="25.5" outlineLevel="3">
      <c r="A440" s="342" t="s">
        <v>668</v>
      </c>
      <c r="B440" s="353"/>
      <c r="C440" s="547"/>
      <c r="D440" s="547"/>
      <c r="E440" s="547"/>
      <c r="F440" s="604"/>
      <c r="G440" s="534"/>
      <c r="H440" s="547"/>
      <c r="I440" s="664"/>
      <c r="J440" s="541"/>
      <c r="K440" s="637"/>
      <c r="L440" s="637"/>
      <c r="M440" s="685">
        <v>0</v>
      </c>
      <c r="N440" s="685">
        <v>0</v>
      </c>
      <c r="O440" s="673"/>
      <c r="P440" s="348">
        <v>450000000</v>
      </c>
      <c r="Q440" s="685">
        <v>0</v>
      </c>
      <c r="R440" s="673">
        <f t="shared" si="3"/>
        <v>0</v>
      </c>
      <c r="S440" s="349"/>
      <c r="T440" s="484"/>
      <c r="U440" s="485"/>
      <c r="V440" s="486"/>
    </row>
    <row r="441" spans="1:22" ht="13.5" outlineLevel="3" thickBot="1">
      <c r="A441" s="488" t="s">
        <v>669</v>
      </c>
      <c r="B441" s="353" t="s">
        <v>670</v>
      </c>
      <c r="C441" s="547">
        <v>0</v>
      </c>
      <c r="D441" s="547">
        <v>0</v>
      </c>
      <c r="E441" s="528">
        <v>0</v>
      </c>
      <c r="F441" s="604"/>
      <c r="G441" s="534"/>
      <c r="H441" s="547">
        <v>1</v>
      </c>
      <c r="I441" s="664">
        <f>D441</f>
        <v>0</v>
      </c>
      <c r="J441" s="541">
        <f>+I441/H441</f>
        <v>0</v>
      </c>
      <c r="K441" s="637">
        <v>0</v>
      </c>
      <c r="L441" s="637">
        <v>1</v>
      </c>
      <c r="M441" s="685"/>
      <c r="N441" s="685"/>
      <c r="O441" s="677"/>
      <c r="P441" s="348"/>
      <c r="Q441" s="685"/>
      <c r="R441" s="677"/>
      <c r="S441" s="349"/>
      <c r="T441" s="484"/>
      <c r="U441" s="485"/>
      <c r="V441" s="486"/>
    </row>
    <row r="442" spans="1:22" ht="13.5" outlineLevel="1" thickBot="1">
      <c r="A442" s="504" t="s">
        <v>671</v>
      </c>
      <c r="B442" s="510"/>
      <c r="C442" s="548"/>
      <c r="D442" s="548"/>
      <c r="E442" s="549">
        <f>+E443*$K$443</f>
        <v>0.42513333333333336</v>
      </c>
      <c r="F442" s="617"/>
      <c r="G442" s="549"/>
      <c r="H442" s="548"/>
      <c r="I442" s="666"/>
      <c r="J442" s="549">
        <f>+J443*$L$443</f>
        <v>0.12652380952380954</v>
      </c>
      <c r="K442" s="635">
        <v>0.1</v>
      </c>
      <c r="L442" s="635">
        <v>0.1</v>
      </c>
      <c r="M442" s="687">
        <f>+SUM(M443)</f>
        <v>655000000</v>
      </c>
      <c r="N442" s="687">
        <f>+SUM(N443)</f>
        <v>205472200</v>
      </c>
      <c r="O442" s="536">
        <f>+N442/M442</f>
        <v>0.31369801526717556</v>
      </c>
      <c r="P442" s="687">
        <f>+SUM(P443)</f>
        <v>3100000000</v>
      </c>
      <c r="Q442" s="687">
        <f>+SUM(Q443)</f>
        <v>205472200</v>
      </c>
      <c r="R442" s="536">
        <f>+Q442/P442</f>
        <v>6.6281354838709672E-2</v>
      </c>
      <c r="S442" s="505"/>
      <c r="T442" s="507"/>
      <c r="U442" s="508"/>
      <c r="V442" s="509"/>
    </row>
    <row r="443" spans="1:22" outlineLevel="2">
      <c r="A443" s="512" t="s">
        <v>672</v>
      </c>
      <c r="B443" s="513"/>
      <c r="C443" s="550"/>
      <c r="D443" s="550"/>
      <c r="E443" s="555">
        <f>+E445*$K$445+E447*$K$447+E449*$K$449+E451*$K$451+E453*$K$453+E455*$K$455</f>
        <v>0.42513333333333336</v>
      </c>
      <c r="F443" s="618"/>
      <c r="G443" s="555"/>
      <c r="H443" s="550"/>
      <c r="I443" s="667"/>
      <c r="J443" s="555">
        <f>+J445*$L$445+J447*$L$447+J449*$L$449+J451*$L$451+J453*$L$453+J455*$L$455</f>
        <v>0.12652380952380954</v>
      </c>
      <c r="K443" s="636">
        <v>1</v>
      </c>
      <c r="L443" s="636">
        <v>1</v>
      </c>
      <c r="M443" s="685">
        <f>+SUM(M444:M455)</f>
        <v>655000000</v>
      </c>
      <c r="N443" s="685">
        <f>+SUM(N444:N455)</f>
        <v>205472200</v>
      </c>
      <c r="O443" s="673">
        <f>+N443/M443</f>
        <v>0.31369801526717556</v>
      </c>
      <c r="P443" s="685">
        <f>+SUM(P444:P455)</f>
        <v>3100000000</v>
      </c>
      <c r="Q443" s="685">
        <f>+SUM(Q444:Q455)</f>
        <v>205472200</v>
      </c>
      <c r="R443" s="673">
        <f>+Q443/P443</f>
        <v>6.6281354838709672E-2</v>
      </c>
      <c r="S443" s="487"/>
      <c r="T443" s="480"/>
      <c r="U443" s="481"/>
      <c r="V443" s="482"/>
    </row>
    <row r="444" spans="1:22" outlineLevel="3">
      <c r="A444" s="342" t="s">
        <v>673</v>
      </c>
      <c r="B444" s="353"/>
      <c r="C444" s="547"/>
      <c r="D444" s="547"/>
      <c r="E444" s="547"/>
      <c r="F444" s="604"/>
      <c r="G444" s="534"/>
      <c r="H444" s="547"/>
      <c r="I444" s="664"/>
      <c r="J444" s="541"/>
      <c r="K444" s="637"/>
      <c r="L444" s="637"/>
      <c r="M444" s="685">
        <v>155000000</v>
      </c>
      <c r="N444" s="685">
        <v>69472200</v>
      </c>
      <c r="O444" s="673">
        <f>+N444/M444</f>
        <v>0.44820774193548385</v>
      </c>
      <c r="P444" s="771">
        <v>750000000</v>
      </c>
      <c r="Q444" s="685">
        <v>69472200</v>
      </c>
      <c r="R444" s="673">
        <f>+Q444/P444</f>
        <v>9.2629600000000006E-2</v>
      </c>
      <c r="S444" s="349"/>
      <c r="T444" s="484"/>
      <c r="U444" s="485"/>
      <c r="V444" s="486"/>
    </row>
    <row r="445" spans="1:22" ht="62.25" customHeight="1" outlineLevel="3">
      <c r="A445" s="342" t="s">
        <v>674</v>
      </c>
      <c r="B445" s="353" t="s">
        <v>92</v>
      </c>
      <c r="C445" s="556">
        <v>0.5</v>
      </c>
      <c r="D445" s="556">
        <v>0.2</v>
      </c>
      <c r="E445" s="541">
        <f>+D445/C445</f>
        <v>0.4</v>
      </c>
      <c r="F445" s="604" t="s">
        <v>675</v>
      </c>
      <c r="G445" s="534"/>
      <c r="H445" s="556">
        <v>0.7</v>
      </c>
      <c r="I445" s="558">
        <v>0.14000000000000001</v>
      </c>
      <c r="J445" s="541">
        <f>+I445/H445</f>
        <v>0.20000000000000004</v>
      </c>
      <c r="K445" s="637">
        <v>0.28000000000000003</v>
      </c>
      <c r="L445" s="637">
        <v>0.25</v>
      </c>
      <c r="M445" s="685"/>
      <c r="N445" s="685"/>
      <c r="O445" s="677"/>
      <c r="P445" s="348"/>
      <c r="Q445" s="685"/>
      <c r="R445" s="677"/>
      <c r="S445" s="349"/>
      <c r="T445" s="484"/>
      <c r="U445" s="485"/>
      <c r="V445" s="486"/>
    </row>
    <row r="446" spans="1:22" outlineLevel="3">
      <c r="A446" s="342" t="s">
        <v>676</v>
      </c>
      <c r="B446" s="353"/>
      <c r="C446" s="547"/>
      <c r="D446" s="547"/>
      <c r="E446" s="547"/>
      <c r="F446" s="604"/>
      <c r="G446" s="534"/>
      <c r="H446" s="547"/>
      <c r="I446" s="664"/>
      <c r="J446" s="541"/>
      <c r="K446" s="637"/>
      <c r="L446" s="637"/>
      <c r="M446" s="685">
        <v>150000000</v>
      </c>
      <c r="N446" s="685">
        <v>24000000</v>
      </c>
      <c r="O446" s="673">
        <f>+N446/M446</f>
        <v>0.16</v>
      </c>
      <c r="P446" s="771">
        <v>750000000</v>
      </c>
      <c r="Q446" s="685">
        <v>24000000</v>
      </c>
      <c r="R446" s="673">
        <f>+Q446/P446</f>
        <v>3.2000000000000001E-2</v>
      </c>
      <c r="S446" s="349"/>
      <c r="T446" s="484"/>
      <c r="U446" s="485"/>
      <c r="V446" s="486"/>
    </row>
    <row r="447" spans="1:22" outlineLevel="3">
      <c r="A447" s="342" t="s">
        <v>677</v>
      </c>
      <c r="B447" s="353" t="s">
        <v>92</v>
      </c>
      <c r="C447" s="556">
        <v>0.1</v>
      </c>
      <c r="D447" s="556">
        <v>0</v>
      </c>
      <c r="E447" s="541">
        <f>+D447/C447</f>
        <v>0</v>
      </c>
      <c r="F447" s="604" t="s">
        <v>678</v>
      </c>
      <c r="G447" s="534"/>
      <c r="H447" s="556">
        <v>0.7</v>
      </c>
      <c r="I447" s="558">
        <f>D447</f>
        <v>0</v>
      </c>
      <c r="J447" s="541">
        <f>+I447/H447</f>
        <v>0</v>
      </c>
      <c r="K447" s="637">
        <v>0.28000000000000003</v>
      </c>
      <c r="L447" s="637">
        <v>0.25</v>
      </c>
      <c r="M447" s="685"/>
      <c r="N447" s="685"/>
      <c r="O447" s="677"/>
      <c r="P447" s="348"/>
      <c r="Q447" s="685"/>
      <c r="R447" s="677"/>
      <c r="S447" s="349"/>
      <c r="T447" s="484"/>
      <c r="U447" s="485"/>
      <c r="V447" s="486"/>
    </row>
    <row r="448" spans="1:22" ht="25.5" outlineLevel="3">
      <c r="A448" s="342" t="s">
        <v>679</v>
      </c>
      <c r="B448" s="353"/>
      <c r="C448" s="547"/>
      <c r="D448" s="547"/>
      <c r="E448" s="547"/>
      <c r="F448" s="604"/>
      <c r="G448" s="534"/>
      <c r="H448" s="547"/>
      <c r="I448" s="664"/>
      <c r="J448" s="541"/>
      <c r="K448" s="637"/>
      <c r="L448" s="637"/>
      <c r="M448" s="685">
        <v>40000000</v>
      </c>
      <c r="N448" s="685">
        <v>0</v>
      </c>
      <c r="O448" s="673">
        <f>+N448/M448</f>
        <v>0</v>
      </c>
      <c r="P448" s="771">
        <v>200000000</v>
      </c>
      <c r="Q448" s="685">
        <v>0</v>
      </c>
      <c r="R448" s="673">
        <f>+Q448/P448</f>
        <v>0</v>
      </c>
      <c r="S448" s="349"/>
      <c r="T448" s="484"/>
      <c r="U448" s="485"/>
      <c r="V448" s="486"/>
    </row>
    <row r="449" spans="1:22" outlineLevel="3">
      <c r="A449" s="342" t="s">
        <v>680</v>
      </c>
      <c r="B449" s="353" t="s">
        <v>681</v>
      </c>
      <c r="C449" s="547">
        <v>0</v>
      </c>
      <c r="D449" s="547">
        <v>0</v>
      </c>
      <c r="E449" s="528">
        <v>0</v>
      </c>
      <c r="F449" s="604"/>
      <c r="G449" s="534"/>
      <c r="H449" s="547">
        <v>1</v>
      </c>
      <c r="I449" s="664">
        <f>D449</f>
        <v>0</v>
      </c>
      <c r="J449" s="541">
        <f>+I449/H449</f>
        <v>0</v>
      </c>
      <c r="K449" s="637">
        <v>0</v>
      </c>
      <c r="L449" s="637">
        <v>0.1</v>
      </c>
      <c r="M449" s="685"/>
      <c r="N449" s="685"/>
      <c r="O449" s="677"/>
      <c r="P449" s="348"/>
      <c r="Q449" s="685"/>
      <c r="R449" s="677"/>
      <c r="S449" s="349"/>
      <c r="T449" s="484"/>
      <c r="U449" s="485"/>
      <c r="V449" s="486"/>
    </row>
    <row r="450" spans="1:22" ht="25.5" outlineLevel="3">
      <c r="A450" s="342" t="s">
        <v>682</v>
      </c>
      <c r="B450" s="353"/>
      <c r="C450" s="547"/>
      <c r="D450" s="547"/>
      <c r="E450" s="547"/>
      <c r="F450" s="604"/>
      <c r="G450" s="534"/>
      <c r="H450" s="547"/>
      <c r="I450" s="664"/>
      <c r="J450" s="541"/>
      <c r="K450" s="637"/>
      <c r="L450" s="637"/>
      <c r="M450" s="685">
        <v>30000000</v>
      </c>
      <c r="N450" s="685">
        <v>10800000</v>
      </c>
      <c r="O450" s="673">
        <f>+N450/M450</f>
        <v>0.36</v>
      </c>
      <c r="P450" s="771">
        <v>200000000</v>
      </c>
      <c r="Q450" s="685">
        <v>10800000</v>
      </c>
      <c r="R450" s="673">
        <f>+Q450/P450</f>
        <v>5.3999999999999999E-2</v>
      </c>
      <c r="S450" s="349"/>
      <c r="T450" s="484"/>
      <c r="U450" s="485"/>
      <c r="V450" s="486"/>
    </row>
    <row r="451" spans="1:22" ht="72" customHeight="1" outlineLevel="3">
      <c r="A451" s="342" t="s">
        <v>683</v>
      </c>
      <c r="B451" s="353" t="s">
        <v>681</v>
      </c>
      <c r="C451" s="547">
        <v>3</v>
      </c>
      <c r="D451" s="547">
        <v>3</v>
      </c>
      <c r="E451" s="530">
        <f>+D451/C451</f>
        <v>1</v>
      </c>
      <c r="F451" s="604" t="s">
        <v>684</v>
      </c>
      <c r="G451" s="534"/>
      <c r="H451" s="547">
        <v>8</v>
      </c>
      <c r="I451" s="664">
        <f>D451</f>
        <v>3</v>
      </c>
      <c r="J451" s="541">
        <f>+I451/H451</f>
        <v>0.375</v>
      </c>
      <c r="K451" s="637">
        <v>0.11</v>
      </c>
      <c r="L451" s="637">
        <v>0.1</v>
      </c>
      <c r="M451" s="685"/>
      <c r="N451" s="685"/>
      <c r="O451" s="677"/>
      <c r="P451" s="348"/>
      <c r="Q451" s="685"/>
      <c r="R451" s="677"/>
      <c r="S451" s="349"/>
      <c r="T451" s="484"/>
      <c r="U451" s="485"/>
      <c r="V451" s="486"/>
    </row>
    <row r="452" spans="1:22" ht="25.5" outlineLevel="3">
      <c r="A452" s="342" t="s">
        <v>685</v>
      </c>
      <c r="B452" s="353"/>
      <c r="C452" s="547"/>
      <c r="D452" s="547"/>
      <c r="E452" s="547"/>
      <c r="F452" s="604"/>
      <c r="G452" s="534"/>
      <c r="H452" s="547"/>
      <c r="I452" s="664"/>
      <c r="J452" s="541"/>
      <c r="K452" s="637"/>
      <c r="L452" s="637"/>
      <c r="M452" s="685">
        <v>30000000</v>
      </c>
      <c r="N452" s="685">
        <v>22800000</v>
      </c>
      <c r="O452" s="673">
        <f>+N452/M452</f>
        <v>0.76</v>
      </c>
      <c r="P452" s="771">
        <v>200000000</v>
      </c>
      <c r="Q452" s="685">
        <v>22800000</v>
      </c>
      <c r="R452" s="673">
        <f>+Q452/P452</f>
        <v>0.114</v>
      </c>
      <c r="S452" s="349"/>
      <c r="T452" s="484"/>
      <c r="U452" s="485"/>
      <c r="V452" s="486"/>
    </row>
    <row r="453" spans="1:22" ht="66" customHeight="1" outlineLevel="3">
      <c r="A453" s="342" t="s">
        <v>686</v>
      </c>
      <c r="B453" s="353" t="s">
        <v>681</v>
      </c>
      <c r="C453" s="547">
        <v>3</v>
      </c>
      <c r="D453" s="547">
        <v>2</v>
      </c>
      <c r="E453" s="530">
        <f>+D453/C453</f>
        <v>0.66666666666666663</v>
      </c>
      <c r="F453" s="604" t="s">
        <v>687</v>
      </c>
      <c r="G453" s="534"/>
      <c r="H453" s="547">
        <v>21</v>
      </c>
      <c r="I453" s="664">
        <f>D453</f>
        <v>2</v>
      </c>
      <c r="J453" s="541">
        <f>+I453/H453</f>
        <v>9.5238095238095233E-2</v>
      </c>
      <c r="K453" s="637">
        <v>0.11</v>
      </c>
      <c r="L453" s="637">
        <v>0.1</v>
      </c>
      <c r="M453" s="685"/>
      <c r="N453" s="685"/>
      <c r="O453" s="677"/>
      <c r="P453" s="348"/>
      <c r="Q453" s="685"/>
      <c r="R453" s="677"/>
      <c r="S453" s="349"/>
      <c r="T453" s="484"/>
      <c r="U453" s="485"/>
      <c r="V453" s="486"/>
    </row>
    <row r="454" spans="1:22" outlineLevel="3">
      <c r="A454" s="342" t="s">
        <v>688</v>
      </c>
      <c r="B454" s="353"/>
      <c r="C454" s="547"/>
      <c r="D454" s="547"/>
      <c r="E454" s="547"/>
      <c r="F454" s="604"/>
      <c r="G454" s="534"/>
      <c r="H454" s="547"/>
      <c r="I454" s="664"/>
      <c r="J454" s="541"/>
      <c r="K454" s="637"/>
      <c r="L454" s="637"/>
      <c r="M454" s="685">
        <v>250000000</v>
      </c>
      <c r="N454" s="685">
        <v>78400000</v>
      </c>
      <c r="O454" s="673">
        <f>+N454/M454</f>
        <v>0.31359999999999999</v>
      </c>
      <c r="P454" s="348">
        <v>1000000000</v>
      </c>
      <c r="Q454" s="685">
        <v>78400000</v>
      </c>
      <c r="R454" s="673">
        <f>+Q454/P454</f>
        <v>7.8399999999999997E-2</v>
      </c>
      <c r="S454" s="349"/>
      <c r="T454" s="484"/>
      <c r="U454" s="485"/>
      <c r="V454" s="486"/>
    </row>
    <row r="455" spans="1:22" ht="64.5" outlineLevel="3" thickBot="1">
      <c r="A455" s="488" t="s">
        <v>689</v>
      </c>
      <c r="B455" s="353" t="s">
        <v>92</v>
      </c>
      <c r="C455" s="556">
        <v>1</v>
      </c>
      <c r="D455" s="556">
        <v>0.59</v>
      </c>
      <c r="E455" s="541">
        <f>+D455/C455</f>
        <v>0.59</v>
      </c>
      <c r="F455" s="604" t="s">
        <v>690</v>
      </c>
      <c r="G455" s="603"/>
      <c r="H455" s="556">
        <v>1</v>
      </c>
      <c r="I455" s="558">
        <f>D455*0.25</f>
        <v>0.14749999999999999</v>
      </c>
      <c r="J455" s="541">
        <f>+I455/H455</f>
        <v>0.14749999999999999</v>
      </c>
      <c r="K455" s="637">
        <v>0.22</v>
      </c>
      <c r="L455" s="637">
        <v>0.2</v>
      </c>
      <c r="M455" s="685"/>
      <c r="N455" s="685"/>
      <c r="O455" s="677"/>
      <c r="P455" s="348"/>
      <c r="Q455" s="685"/>
      <c r="R455" s="677"/>
      <c r="S455" s="349"/>
      <c r="T455" s="484"/>
      <c r="U455" s="485"/>
      <c r="V455" s="486"/>
    </row>
    <row r="456" spans="1:22" ht="13.5" outlineLevel="1" thickBot="1">
      <c r="A456" s="504" t="s">
        <v>691</v>
      </c>
      <c r="B456" s="510"/>
      <c r="C456" s="548"/>
      <c r="D456" s="548"/>
      <c r="E456" s="549">
        <f>+E457*$K$457+E462*$K$462+E465*$K$465</f>
        <v>0.97600000000000009</v>
      </c>
      <c r="F456" s="617"/>
      <c r="G456" s="549"/>
      <c r="H456" s="548"/>
      <c r="I456" s="666"/>
      <c r="J456" s="549">
        <f>+J457*$L$457+J462*$L$462+J465*$L$465</f>
        <v>0.24400000000000002</v>
      </c>
      <c r="K456" s="635">
        <v>0.1</v>
      </c>
      <c r="L456" s="635">
        <v>0.1</v>
      </c>
      <c r="M456" s="687">
        <f>+SUM(M457,M462,M465)</f>
        <v>621919050.36000001</v>
      </c>
      <c r="N456" s="687">
        <f>+SUM(N457,N462,N465)</f>
        <v>591605825</v>
      </c>
      <c r="O456" s="536">
        <f>+N456/M456</f>
        <v>0.95125856758616234</v>
      </c>
      <c r="P456" s="687">
        <f>+SUM(P457,P462,P465)</f>
        <v>3000000000</v>
      </c>
      <c r="Q456" s="687">
        <f>+SUM(Q457,Q462,Q465)</f>
        <v>591605825</v>
      </c>
      <c r="R456" s="536">
        <f>+Q456/P456</f>
        <v>0.19720194166666666</v>
      </c>
      <c r="S456" s="505"/>
      <c r="T456" s="507"/>
      <c r="U456" s="508"/>
      <c r="V456" s="509"/>
    </row>
    <row r="457" spans="1:22" outlineLevel="2">
      <c r="A457" s="512" t="s">
        <v>692</v>
      </c>
      <c r="B457" s="513"/>
      <c r="C457" s="550"/>
      <c r="D457" s="550"/>
      <c r="E457" s="555">
        <f>+E459*$K$459+E461*$K$461</f>
        <v>1</v>
      </c>
      <c r="F457" s="618"/>
      <c r="G457" s="555"/>
      <c r="H457" s="550"/>
      <c r="I457" s="667"/>
      <c r="J457" s="555">
        <f>+J459*$L$459+J461*$L$461</f>
        <v>0.25</v>
      </c>
      <c r="K457" s="636">
        <v>0.4</v>
      </c>
      <c r="L457" s="636">
        <v>0.4</v>
      </c>
      <c r="M457" s="685">
        <f>+SUM(M458:M461)</f>
        <v>321919050.36000001</v>
      </c>
      <c r="N457" s="685">
        <f>+SUM(N458:N461)</f>
        <v>296655825</v>
      </c>
      <c r="O457" s="673">
        <f>+N457/M457</f>
        <v>0.92152304956246511</v>
      </c>
      <c r="P457" s="685">
        <f>+SUM(P458:P461)</f>
        <v>1400000000</v>
      </c>
      <c r="Q457" s="685">
        <f>+SUM(Q458:Q461)</f>
        <v>296655825</v>
      </c>
      <c r="R457" s="673">
        <f>+Q457/P457</f>
        <v>0.21189701785714285</v>
      </c>
      <c r="S457" s="487"/>
      <c r="T457" s="480"/>
      <c r="U457" s="481"/>
      <c r="V457" s="482"/>
    </row>
    <row r="458" spans="1:22" outlineLevel="3">
      <c r="A458" s="342" t="s">
        <v>693</v>
      </c>
      <c r="B458" s="353"/>
      <c r="C458" s="547"/>
      <c r="D458" s="547"/>
      <c r="E458" s="547"/>
      <c r="F458" s="604"/>
      <c r="G458" s="534"/>
      <c r="H458" s="547"/>
      <c r="I458" s="664"/>
      <c r="J458" s="541"/>
      <c r="K458" s="637"/>
      <c r="L458" s="637"/>
      <c r="M458" s="685">
        <f>200000000+51919050.36</f>
        <v>251919050.36000001</v>
      </c>
      <c r="N458" s="685">
        <f>199350000+47994825</f>
        <v>247344825</v>
      </c>
      <c r="O458" s="673">
        <f>+N458/M458</f>
        <v>0.98184247934618951</v>
      </c>
      <c r="P458" s="348">
        <v>700000000</v>
      </c>
      <c r="Q458" s="685">
        <f>199350000+47994825</f>
        <v>247344825</v>
      </c>
      <c r="R458" s="673">
        <f>+Q458/P458</f>
        <v>0.35334975000000002</v>
      </c>
      <c r="S458" s="349"/>
      <c r="T458" s="484"/>
      <c r="U458" s="485"/>
      <c r="V458" s="486"/>
    </row>
    <row r="459" spans="1:22" ht="89.25" outlineLevel="3">
      <c r="A459" s="342" t="s">
        <v>694</v>
      </c>
      <c r="B459" s="353" t="s">
        <v>92</v>
      </c>
      <c r="C459" s="556">
        <v>1</v>
      </c>
      <c r="D459" s="556">
        <v>1</v>
      </c>
      <c r="E459" s="541">
        <f>+D459/C459</f>
        <v>1</v>
      </c>
      <c r="F459" s="604" t="s">
        <v>695</v>
      </c>
      <c r="G459" s="534"/>
      <c r="H459" s="556">
        <v>1</v>
      </c>
      <c r="I459" s="558">
        <f>D459*0.25</f>
        <v>0.25</v>
      </c>
      <c r="J459" s="541">
        <f>+I459/H459</f>
        <v>0.25</v>
      </c>
      <c r="K459" s="637">
        <v>0.8</v>
      </c>
      <c r="L459" s="637">
        <v>0.8</v>
      </c>
      <c r="M459" s="685"/>
      <c r="N459" s="685"/>
      <c r="O459" s="677"/>
      <c r="P459" s="348"/>
      <c r="Q459" s="685"/>
      <c r="R459" s="677"/>
      <c r="S459" s="349"/>
      <c r="T459" s="484"/>
      <c r="U459" s="485"/>
      <c r="V459" s="486"/>
    </row>
    <row r="460" spans="1:22" outlineLevel="3">
      <c r="A460" s="342" t="s">
        <v>696</v>
      </c>
      <c r="B460" s="353"/>
      <c r="C460" s="547"/>
      <c r="D460" s="547"/>
      <c r="E460" s="547"/>
      <c r="F460" s="604"/>
      <c r="G460" s="534"/>
      <c r="H460" s="547"/>
      <c r="I460" s="664"/>
      <c r="J460" s="541"/>
      <c r="K460" s="637"/>
      <c r="L460" s="637"/>
      <c r="M460" s="685">
        <v>70000000</v>
      </c>
      <c r="N460" s="685">
        <v>49311000</v>
      </c>
      <c r="O460" s="673">
        <f>+N460/M460</f>
        <v>0.70444285714285715</v>
      </c>
      <c r="P460" s="771">
        <v>700000000</v>
      </c>
      <c r="Q460" s="685">
        <v>49311000</v>
      </c>
      <c r="R460" s="673">
        <f>+Q460/P460</f>
        <v>7.0444285714285709E-2</v>
      </c>
      <c r="S460" s="349"/>
      <c r="T460" s="484"/>
      <c r="U460" s="485"/>
      <c r="V460" s="486"/>
    </row>
    <row r="461" spans="1:22" ht="97.5" customHeight="1" outlineLevel="3">
      <c r="A461" s="342" t="s">
        <v>697</v>
      </c>
      <c r="B461" s="353" t="s">
        <v>698</v>
      </c>
      <c r="C461" s="556">
        <v>0.5</v>
      </c>
      <c r="D461" s="556">
        <v>0.5</v>
      </c>
      <c r="E461" s="541">
        <f>+D461/C461</f>
        <v>1</v>
      </c>
      <c r="F461" s="604" t="s">
        <v>699</v>
      </c>
      <c r="G461" s="534"/>
      <c r="H461" s="556">
        <v>1</v>
      </c>
      <c r="I461" s="558">
        <v>0.25</v>
      </c>
      <c r="J461" s="541">
        <f>+I461/H461</f>
        <v>0.25</v>
      </c>
      <c r="K461" s="637">
        <v>0.2</v>
      </c>
      <c r="L461" s="637">
        <v>0.2</v>
      </c>
      <c r="M461" s="685"/>
      <c r="N461" s="685"/>
      <c r="O461" s="677"/>
      <c r="P461" s="348"/>
      <c r="Q461" s="685"/>
      <c r="R461" s="677"/>
      <c r="S461" s="349"/>
      <c r="T461" s="484"/>
      <c r="U461" s="485"/>
      <c r="V461" s="486"/>
    </row>
    <row r="462" spans="1:22" outlineLevel="2">
      <c r="A462" s="511" t="s">
        <v>700</v>
      </c>
      <c r="B462" s="514"/>
      <c r="C462" s="554"/>
      <c r="D462" s="554"/>
      <c r="E462" s="555">
        <f>+E464*$K$464</f>
        <v>0.88</v>
      </c>
      <c r="F462" s="620"/>
      <c r="G462" s="555"/>
      <c r="H462" s="554"/>
      <c r="I462" s="665"/>
      <c r="J462" s="555">
        <f>+J464*$L$464</f>
        <v>0.22</v>
      </c>
      <c r="K462" s="638">
        <v>0.2</v>
      </c>
      <c r="L462" s="638">
        <v>0.2</v>
      </c>
      <c r="M462" s="685">
        <f>+SUM(M463:M464)</f>
        <v>80000000</v>
      </c>
      <c r="N462" s="685">
        <f>+SUM(N463:N464)</f>
        <v>79200000</v>
      </c>
      <c r="O462" s="673">
        <f>+N462/M462</f>
        <v>0.99</v>
      </c>
      <c r="P462" s="685">
        <f>+SUM(P463:P464)</f>
        <v>400000000</v>
      </c>
      <c r="Q462" s="685">
        <f>+SUM(Q463:Q464)</f>
        <v>79200000</v>
      </c>
      <c r="R462" s="673">
        <f>+Q462/P462</f>
        <v>0.19800000000000001</v>
      </c>
      <c r="S462" s="349"/>
      <c r="T462" s="484"/>
      <c r="U462" s="485"/>
      <c r="V462" s="486"/>
    </row>
    <row r="463" spans="1:22" outlineLevel="3">
      <c r="A463" s="342" t="s">
        <v>701</v>
      </c>
      <c r="B463" s="353"/>
      <c r="C463" s="547"/>
      <c r="D463" s="547"/>
      <c r="E463" s="547"/>
      <c r="F463" s="604" t="s">
        <v>154</v>
      </c>
      <c r="G463" s="534"/>
      <c r="H463" s="547"/>
      <c r="I463" s="664"/>
      <c r="J463" s="541"/>
      <c r="K463" s="637"/>
      <c r="L463" s="637"/>
      <c r="M463" s="685">
        <v>80000000</v>
      </c>
      <c r="N463" s="685">
        <v>79200000</v>
      </c>
      <c r="O463" s="673">
        <f>+N463/M463</f>
        <v>0.99</v>
      </c>
      <c r="P463" s="348">
        <v>400000000</v>
      </c>
      <c r="Q463" s="685">
        <v>79200000</v>
      </c>
      <c r="R463" s="673">
        <f>+Q463/P463</f>
        <v>0.19800000000000001</v>
      </c>
      <c r="S463" s="349"/>
      <c r="T463" s="484"/>
      <c r="U463" s="485"/>
      <c r="V463" s="486"/>
    </row>
    <row r="464" spans="1:22" ht="76.5" outlineLevel="3">
      <c r="A464" s="342" t="s">
        <v>702</v>
      </c>
      <c r="B464" s="353" t="s">
        <v>92</v>
      </c>
      <c r="C464" s="556">
        <v>1</v>
      </c>
      <c r="D464" s="556">
        <v>0.88</v>
      </c>
      <c r="E464" s="558">
        <f>+D464/C464</f>
        <v>0.88</v>
      </c>
      <c r="F464" s="604" t="s">
        <v>703</v>
      </c>
      <c r="G464" s="558"/>
      <c r="H464" s="556">
        <v>1</v>
      </c>
      <c r="I464" s="558">
        <f>D464*0.25</f>
        <v>0.22</v>
      </c>
      <c r="J464" s="541">
        <f>+I464/H464</f>
        <v>0.22</v>
      </c>
      <c r="K464" s="637">
        <v>1</v>
      </c>
      <c r="L464" s="637">
        <v>1</v>
      </c>
      <c r="M464" s="685"/>
      <c r="N464" s="685"/>
      <c r="O464" s="677"/>
      <c r="P464" s="348"/>
      <c r="Q464" s="685"/>
      <c r="R464" s="677"/>
      <c r="S464" s="349"/>
      <c r="T464" s="484"/>
      <c r="U464" s="485"/>
      <c r="V464" s="486"/>
    </row>
    <row r="465" spans="1:22" outlineLevel="2">
      <c r="A465" s="511" t="s">
        <v>704</v>
      </c>
      <c r="B465" s="514"/>
      <c r="C465" s="554"/>
      <c r="D465" s="554"/>
      <c r="E465" s="555">
        <f>+E467*$K$467</f>
        <v>1</v>
      </c>
      <c r="F465" s="620" t="s">
        <v>154</v>
      </c>
      <c r="G465" s="555"/>
      <c r="H465" s="554"/>
      <c r="I465" s="665"/>
      <c r="J465" s="555">
        <f>+J467*$L$467</f>
        <v>0.25</v>
      </c>
      <c r="K465" s="638">
        <v>0.4</v>
      </c>
      <c r="L465" s="638">
        <v>0.4</v>
      </c>
      <c r="M465" s="685">
        <f>+SUM(M466:M467)</f>
        <v>220000000</v>
      </c>
      <c r="N465" s="685">
        <f>+SUM(N466:N467)</f>
        <v>215750000</v>
      </c>
      <c r="O465" s="673">
        <f>+N465/M465</f>
        <v>0.98068181818181821</v>
      </c>
      <c r="P465" s="685">
        <f>+SUM(P466:P467)</f>
        <v>1200000000</v>
      </c>
      <c r="Q465" s="685">
        <f>+SUM(Q466:Q467)</f>
        <v>215750000</v>
      </c>
      <c r="R465" s="673">
        <f>+Q465/P465</f>
        <v>0.17979166666666666</v>
      </c>
      <c r="S465" s="349"/>
      <c r="T465" s="484"/>
      <c r="U465" s="485"/>
      <c r="V465" s="486"/>
    </row>
    <row r="466" spans="1:22" outlineLevel="3">
      <c r="A466" s="342" t="s">
        <v>705</v>
      </c>
      <c r="B466" s="353"/>
      <c r="C466" s="547"/>
      <c r="D466" s="547"/>
      <c r="E466" s="547"/>
      <c r="F466" s="604"/>
      <c r="G466" s="534"/>
      <c r="H466" s="547"/>
      <c r="I466" s="664"/>
      <c r="J466" s="541"/>
      <c r="K466" s="637"/>
      <c r="L466" s="637"/>
      <c r="M466" s="685">
        <v>220000000</v>
      </c>
      <c r="N466" s="685">
        <v>215750000</v>
      </c>
      <c r="O466" s="673">
        <f>+N466/M466</f>
        <v>0.98068181818181821</v>
      </c>
      <c r="P466" s="348">
        <v>1200000000</v>
      </c>
      <c r="Q466" s="685">
        <v>215750000</v>
      </c>
      <c r="R466" s="673">
        <f>+Q466/P466</f>
        <v>0.17979166666666666</v>
      </c>
      <c r="S466" s="349"/>
      <c r="T466" s="484"/>
      <c r="U466" s="485"/>
      <c r="V466" s="486"/>
    </row>
    <row r="467" spans="1:22" ht="40.5" customHeight="1" outlineLevel="3" thickBot="1">
      <c r="A467" s="488" t="s">
        <v>706</v>
      </c>
      <c r="B467" s="353" t="s">
        <v>92</v>
      </c>
      <c r="C467" s="556">
        <v>1</v>
      </c>
      <c r="D467" s="556">
        <v>1</v>
      </c>
      <c r="E467" s="541">
        <f>+D467/C467</f>
        <v>1</v>
      </c>
      <c r="F467" s="604" t="s">
        <v>707</v>
      </c>
      <c r="G467" s="534"/>
      <c r="H467" s="556">
        <v>1</v>
      </c>
      <c r="I467" s="558">
        <f>D467*0.25</f>
        <v>0.25</v>
      </c>
      <c r="J467" s="541">
        <f>+I467/H467</f>
        <v>0.25</v>
      </c>
      <c r="K467" s="637">
        <v>1</v>
      </c>
      <c r="L467" s="637">
        <v>1</v>
      </c>
      <c r="M467" s="685"/>
      <c r="N467" s="685"/>
      <c r="O467" s="677"/>
      <c r="P467" s="348"/>
      <c r="Q467" s="685"/>
      <c r="R467" s="677"/>
      <c r="S467" s="349"/>
      <c r="T467" s="484"/>
      <c r="U467" s="485"/>
      <c r="V467" s="486"/>
    </row>
    <row r="468" spans="1:22" ht="26.25" outlineLevel="1" thickBot="1">
      <c r="A468" s="504" t="s">
        <v>708</v>
      </c>
      <c r="B468" s="510"/>
      <c r="C468" s="560"/>
      <c r="D468" s="548"/>
      <c r="E468" s="549">
        <f>+E469*$K$469+E472*$K$472</f>
        <v>0.85499999999999998</v>
      </c>
      <c r="F468" s="617"/>
      <c r="G468" s="549"/>
      <c r="H468" s="548"/>
      <c r="I468" s="666"/>
      <c r="J468" s="549">
        <f>+J469*$L$469+J472*$L$472</f>
        <v>0.16245000000000004</v>
      </c>
      <c r="K468" s="635">
        <v>0.1</v>
      </c>
      <c r="L468" s="635">
        <v>0.1</v>
      </c>
      <c r="M468" s="687">
        <f>+SUM(M469,M472)</f>
        <v>1081675400.47</v>
      </c>
      <c r="N468" s="687">
        <f>+SUM(N469,N472)</f>
        <v>516510025</v>
      </c>
      <c r="O468" s="536">
        <f>+N468/M468</f>
        <v>0.47750926458674259</v>
      </c>
      <c r="P468" s="687">
        <f>+SUM(P469,P472)</f>
        <v>9285000000</v>
      </c>
      <c r="Q468" s="687">
        <f>+SUM(Q469,Q472)</f>
        <v>516510025</v>
      </c>
      <c r="R468" s="536">
        <f>+Q468/P468</f>
        <v>5.5628435648896066E-2</v>
      </c>
      <c r="S468" s="505"/>
      <c r="T468" s="507"/>
      <c r="U468" s="508"/>
      <c r="V468" s="509"/>
    </row>
    <row r="469" spans="1:22" outlineLevel="2">
      <c r="A469" s="512" t="s">
        <v>709</v>
      </c>
      <c r="B469" s="513"/>
      <c r="C469" s="561"/>
      <c r="D469" s="550"/>
      <c r="E469" s="555">
        <f>+E471*$K$471</f>
        <v>0</v>
      </c>
      <c r="F469" s="618"/>
      <c r="G469" s="555"/>
      <c r="H469" s="550"/>
      <c r="I469" s="667"/>
      <c r="J469" s="555">
        <f>+J471*$L$471</f>
        <v>0</v>
      </c>
      <c r="K469" s="636">
        <v>0</v>
      </c>
      <c r="L469" s="636">
        <v>0.05</v>
      </c>
      <c r="M469" s="685">
        <f>+SUM(M470:M471)</f>
        <v>0</v>
      </c>
      <c r="N469" s="685">
        <f>+SUM(N470:N471)</f>
        <v>0</v>
      </c>
      <c r="O469" s="678"/>
      <c r="P469" s="685">
        <f>+SUM(P470:P471)</f>
        <v>240000000</v>
      </c>
      <c r="Q469" s="685">
        <f>+SUM(Q470:Q471)</f>
        <v>0</v>
      </c>
      <c r="R469" s="673">
        <f t="shared" ref="R469:R470" si="4">+Q469/P469</f>
        <v>0</v>
      </c>
      <c r="S469" s="487"/>
      <c r="T469" s="480"/>
      <c r="U469" s="481"/>
      <c r="V469" s="482"/>
    </row>
    <row r="470" spans="1:22" ht="25.5" outlineLevel="3">
      <c r="A470" s="342" t="s">
        <v>710</v>
      </c>
      <c r="B470" s="353"/>
      <c r="C470" s="556"/>
      <c r="D470" s="547"/>
      <c r="E470" s="547"/>
      <c r="F470" s="604"/>
      <c r="G470" s="534"/>
      <c r="H470" s="547"/>
      <c r="I470" s="664"/>
      <c r="J470" s="541"/>
      <c r="K470" s="637"/>
      <c r="L470" s="637"/>
      <c r="M470" s="685">
        <v>0</v>
      </c>
      <c r="N470" s="685">
        <v>0</v>
      </c>
      <c r="O470" s="677"/>
      <c r="P470" s="348">
        <v>240000000</v>
      </c>
      <c r="Q470" s="685">
        <v>0</v>
      </c>
      <c r="R470" s="673">
        <f t="shared" si="4"/>
        <v>0</v>
      </c>
      <c r="S470" s="349"/>
      <c r="T470" s="484"/>
      <c r="U470" s="485"/>
      <c r="V470" s="486"/>
    </row>
    <row r="471" spans="1:22" outlineLevel="3">
      <c r="A471" s="342" t="s">
        <v>711</v>
      </c>
      <c r="B471" s="353" t="s">
        <v>654</v>
      </c>
      <c r="C471" s="562">
        <v>0</v>
      </c>
      <c r="D471" s="547">
        <v>0</v>
      </c>
      <c r="E471" s="528">
        <v>0</v>
      </c>
      <c r="F471" s="604"/>
      <c r="G471" s="534"/>
      <c r="H471" s="547">
        <v>2</v>
      </c>
      <c r="I471" s="664">
        <f>D471</f>
        <v>0</v>
      </c>
      <c r="J471" s="541">
        <f>+I471/H471</f>
        <v>0</v>
      </c>
      <c r="K471" s="637">
        <v>0</v>
      </c>
      <c r="L471" s="637">
        <v>1</v>
      </c>
      <c r="M471" s="685"/>
      <c r="N471" s="685"/>
      <c r="O471" s="677"/>
      <c r="P471" s="348"/>
      <c r="Q471" s="685"/>
      <c r="R471" s="677"/>
      <c r="S471" s="349"/>
      <c r="T471" s="484"/>
      <c r="U471" s="485"/>
      <c r="V471" s="486"/>
    </row>
    <row r="472" spans="1:22" outlineLevel="2">
      <c r="A472" s="511" t="s">
        <v>712</v>
      </c>
      <c r="B472" s="514"/>
      <c r="C472" s="563"/>
      <c r="D472" s="554"/>
      <c r="E472" s="555">
        <f>+E474*$K$474+E476*$K$476+E478*$K$478</f>
        <v>0.85499999999999998</v>
      </c>
      <c r="F472" s="620"/>
      <c r="G472" s="555"/>
      <c r="H472" s="559"/>
      <c r="I472" s="665"/>
      <c r="J472" s="555">
        <f>+J474*$L$474+J476*$L$476+J478*$L$478</f>
        <v>0.17100000000000004</v>
      </c>
      <c r="K472" s="638">
        <v>1</v>
      </c>
      <c r="L472" s="638">
        <v>0.95</v>
      </c>
      <c r="M472" s="685">
        <f>+SUM(M473:M478)</f>
        <v>1081675400.47</v>
      </c>
      <c r="N472" s="685">
        <f>+SUM(N473:N478)</f>
        <v>516510025</v>
      </c>
      <c r="O472" s="673">
        <f>+N472/M472</f>
        <v>0.47750926458674259</v>
      </c>
      <c r="P472" s="685">
        <f>+SUM(P473:P478)</f>
        <v>9045000000</v>
      </c>
      <c r="Q472" s="685">
        <f>+SUM(Q473:Q478)</f>
        <v>516510025</v>
      </c>
      <c r="R472" s="673">
        <f>+Q472/P472</f>
        <v>5.7104480375898284E-2</v>
      </c>
      <c r="S472" s="349"/>
      <c r="T472" s="484"/>
      <c r="U472" s="485"/>
      <c r="V472" s="486"/>
    </row>
    <row r="473" spans="1:22" ht="25.5" outlineLevel="3">
      <c r="A473" s="342" t="s">
        <v>713</v>
      </c>
      <c r="B473" s="353"/>
      <c r="C473" s="556"/>
      <c r="D473" s="547"/>
      <c r="E473" s="547"/>
      <c r="F473" s="604"/>
      <c r="G473" s="534"/>
      <c r="H473" s="547"/>
      <c r="I473" s="664"/>
      <c r="J473" s="541"/>
      <c r="K473" s="637"/>
      <c r="L473" s="637"/>
      <c r="M473" s="685">
        <f>185000000+496675400.47</f>
        <v>681675400.47000003</v>
      </c>
      <c r="N473" s="685">
        <f>51250000+465260025</f>
        <v>516510025</v>
      </c>
      <c r="O473" s="673">
        <f>+N473/M473</f>
        <v>0.75770671003219103</v>
      </c>
      <c r="P473" s="348">
        <v>845000000</v>
      </c>
      <c r="Q473" s="685">
        <f>51250000+465260025</f>
        <v>516510025</v>
      </c>
      <c r="R473" s="673">
        <f>+Q473/P473</f>
        <v>0.61125446745562129</v>
      </c>
      <c r="S473" s="349"/>
      <c r="T473" s="484"/>
      <c r="U473" s="485"/>
      <c r="V473" s="486"/>
    </row>
    <row r="474" spans="1:22" ht="53.25" customHeight="1" outlineLevel="3">
      <c r="A474" s="342" t="s">
        <v>714</v>
      </c>
      <c r="B474" s="353" t="s">
        <v>92</v>
      </c>
      <c r="C474" s="556">
        <v>1</v>
      </c>
      <c r="D474" s="557">
        <v>0.78</v>
      </c>
      <c r="E474" s="534">
        <f>+D474/C474</f>
        <v>0.78</v>
      </c>
      <c r="F474" s="604" t="s">
        <v>715</v>
      </c>
      <c r="G474" s="534"/>
      <c r="H474" s="556">
        <v>1</v>
      </c>
      <c r="I474" s="558">
        <f>D474*0.25</f>
        <v>0.19500000000000001</v>
      </c>
      <c r="J474" s="541">
        <f>+I474/H474</f>
        <v>0.19500000000000001</v>
      </c>
      <c r="K474" s="637">
        <v>0.5</v>
      </c>
      <c r="L474" s="637">
        <v>0.4</v>
      </c>
      <c r="M474" s="685"/>
      <c r="N474" s="685"/>
      <c r="O474" s="677"/>
      <c r="P474" s="348"/>
      <c r="Q474" s="685"/>
      <c r="R474" s="677"/>
      <c r="S474" s="349"/>
      <c r="T474" s="484"/>
      <c r="U474" s="485"/>
      <c r="V474" s="486"/>
    </row>
    <row r="475" spans="1:22" ht="25.5" outlineLevel="3">
      <c r="A475" s="342" t="s">
        <v>716</v>
      </c>
      <c r="B475" s="353"/>
      <c r="C475" s="556"/>
      <c r="D475" s="547"/>
      <c r="E475" s="547"/>
      <c r="F475" s="622"/>
      <c r="G475" s="534"/>
      <c r="H475" s="547"/>
      <c r="I475" s="664"/>
      <c r="J475" s="541"/>
      <c r="K475" s="637"/>
      <c r="L475" s="637"/>
      <c r="M475" s="685">
        <v>400000000</v>
      </c>
      <c r="N475" s="685">
        <v>0</v>
      </c>
      <c r="O475" s="673">
        <f>+N475/M475</f>
        <v>0</v>
      </c>
      <c r="P475" s="348">
        <v>7500000000</v>
      </c>
      <c r="Q475" s="685">
        <v>0</v>
      </c>
      <c r="R475" s="673">
        <f>+Q475/P475</f>
        <v>0</v>
      </c>
      <c r="S475" s="349"/>
      <c r="T475" s="484"/>
      <c r="U475" s="485"/>
      <c r="V475" s="486"/>
    </row>
    <row r="476" spans="1:22" ht="51" outlineLevel="3">
      <c r="A476" s="342" t="s">
        <v>717</v>
      </c>
      <c r="B476" s="353" t="s">
        <v>92</v>
      </c>
      <c r="C476" s="556">
        <v>1</v>
      </c>
      <c r="D476" s="556">
        <v>0.93</v>
      </c>
      <c r="E476" s="541">
        <f>+D476/C476</f>
        <v>0.93</v>
      </c>
      <c r="F476" s="812" t="s">
        <v>718</v>
      </c>
      <c r="G476" s="534"/>
      <c r="H476" s="556">
        <v>1</v>
      </c>
      <c r="I476" s="558">
        <f>D476*0.25</f>
        <v>0.23250000000000001</v>
      </c>
      <c r="J476" s="541">
        <f>+I476/H476</f>
        <v>0.23250000000000001</v>
      </c>
      <c r="K476" s="637">
        <v>0.5</v>
      </c>
      <c r="L476" s="637">
        <v>0.4</v>
      </c>
      <c r="M476" s="685"/>
      <c r="N476" s="685"/>
      <c r="O476" s="677"/>
      <c r="P476" s="348"/>
      <c r="Q476" s="685"/>
      <c r="R476" s="677"/>
      <c r="S476" s="349"/>
      <c r="T476" s="484"/>
      <c r="U476" s="485"/>
      <c r="V476" s="486"/>
    </row>
    <row r="477" spans="1:22" outlineLevel="3">
      <c r="A477" s="342" t="s">
        <v>719</v>
      </c>
      <c r="B477" s="353"/>
      <c r="C477" s="556"/>
      <c r="D477" s="547"/>
      <c r="E477" s="547"/>
      <c r="F477" s="622"/>
      <c r="G477" s="534"/>
      <c r="H477" s="547"/>
      <c r="I477" s="664"/>
      <c r="J477" s="541"/>
      <c r="K477" s="637"/>
      <c r="L477" s="637"/>
      <c r="M477" s="685">
        <v>0</v>
      </c>
      <c r="N477" s="685">
        <v>0</v>
      </c>
      <c r="O477" s="677"/>
      <c r="P477" s="348">
        <v>700000000</v>
      </c>
      <c r="Q477" s="685">
        <v>0</v>
      </c>
      <c r="R477" s="673">
        <f>+Q477/P477</f>
        <v>0</v>
      </c>
      <c r="S477" s="349"/>
      <c r="T477" s="484"/>
      <c r="U477" s="485"/>
      <c r="V477" s="486"/>
    </row>
    <row r="478" spans="1:22" ht="13.5" outlineLevel="3" thickBot="1">
      <c r="A478" s="342" t="s">
        <v>720</v>
      </c>
      <c r="B478" s="353" t="s">
        <v>721</v>
      </c>
      <c r="C478" s="562">
        <v>0</v>
      </c>
      <c r="D478" s="547">
        <v>0</v>
      </c>
      <c r="E478" s="528">
        <v>0</v>
      </c>
      <c r="F478" s="622"/>
      <c r="G478" s="534"/>
      <c r="H478" s="547">
        <v>4</v>
      </c>
      <c r="I478" s="664">
        <f>D478</f>
        <v>0</v>
      </c>
      <c r="J478" s="541">
        <f>+I478/H478</f>
        <v>0</v>
      </c>
      <c r="K478" s="637">
        <v>0</v>
      </c>
      <c r="L478" s="637">
        <v>0.2</v>
      </c>
      <c r="M478" s="685"/>
      <c r="N478" s="685"/>
      <c r="O478" s="677"/>
      <c r="P478" s="348"/>
      <c r="Q478" s="685"/>
      <c r="R478" s="677"/>
      <c r="S478" s="349"/>
      <c r="T478" s="484"/>
      <c r="U478" s="485"/>
      <c r="V478" s="486"/>
    </row>
    <row r="479" spans="1:22" ht="26.25" outlineLevel="3" thickBot="1">
      <c r="A479" s="504" t="s">
        <v>722</v>
      </c>
      <c r="B479" s="510"/>
      <c r="C479" s="560"/>
      <c r="D479" s="548"/>
      <c r="E479" s="549"/>
      <c r="F479" s="617" t="s">
        <v>723</v>
      </c>
      <c r="G479" s="549"/>
      <c r="H479" s="548"/>
      <c r="I479" s="666"/>
      <c r="J479" s="549"/>
      <c r="K479" s="635"/>
      <c r="L479" s="635"/>
      <c r="M479" s="564">
        <v>7060050000</v>
      </c>
      <c r="N479" s="564">
        <v>6107311808</v>
      </c>
      <c r="O479" s="565">
        <f>+N479/M479</f>
        <v>0.86505220331300769</v>
      </c>
      <c r="P479" s="564">
        <v>7060050000</v>
      </c>
      <c r="Q479" s="564">
        <v>6107311808</v>
      </c>
      <c r="R479" s="565">
        <f>+Q479/P479</f>
        <v>0.86505220331300769</v>
      </c>
      <c r="S479" s="504"/>
      <c r="T479" s="510"/>
      <c r="U479" s="560"/>
      <c r="V479" s="548"/>
    </row>
    <row r="480" spans="1:22" ht="17.25" thickBot="1">
      <c r="A480" s="946" t="s">
        <v>724</v>
      </c>
      <c r="B480" s="947"/>
      <c r="C480" s="820"/>
      <c r="D480" s="820"/>
      <c r="E480" s="566">
        <f>+E7*$K$7+E91*$K$91+E165*$K$165+E239*$K$239+E344*$K$344</f>
        <v>0.61451949999999989</v>
      </c>
      <c r="F480" s="623"/>
      <c r="G480" s="566"/>
      <c r="H480" s="820"/>
      <c r="I480" s="630"/>
      <c r="J480" s="566">
        <f>+J7*$K$7+J91*$K$91+J165*$K$165+J239*$K$239+J344*$K$344</f>
        <v>0.12824602706608007</v>
      </c>
      <c r="K480" s="643"/>
      <c r="L480" s="643"/>
      <c r="M480" s="815">
        <f>+SUM(M7,M91,M165,M239,M344,M479)</f>
        <v>95112659334.520004</v>
      </c>
      <c r="N480" s="815">
        <f>+SUM(N7,N91,N165,N239,N344,N479)</f>
        <v>63560805671.059998</v>
      </c>
      <c r="O480" s="816">
        <f>+N480/M480</f>
        <v>0.66826862076803861</v>
      </c>
      <c r="P480" s="817">
        <f>+SUM(P7,P91,P165,P239,P344,P479)</f>
        <v>346666661381</v>
      </c>
      <c r="Q480" s="815">
        <f>+SUM(Q7,Q91,Q165,Q239,Q344,Q479)</f>
        <v>63560805671.059998</v>
      </c>
      <c r="R480" s="816">
        <f>+Q480/P480</f>
        <v>0.18334848069282389</v>
      </c>
      <c r="S480" s="354"/>
    </row>
    <row r="481" spans="1:19">
      <c r="A481" s="948" t="s">
        <v>725</v>
      </c>
      <c r="B481" s="948"/>
      <c r="C481" s="948"/>
      <c r="D481" s="948"/>
      <c r="E481" s="948"/>
      <c r="F481" s="948"/>
      <c r="G481" s="948"/>
      <c r="H481" s="948"/>
      <c r="I481" s="948"/>
      <c r="J481" s="948"/>
      <c r="K481" s="948"/>
      <c r="L481" s="948"/>
      <c r="M481" s="948"/>
      <c r="N481" s="948"/>
      <c r="O481" s="948"/>
      <c r="P481" s="948"/>
      <c r="Q481" s="948"/>
      <c r="R481" s="948"/>
      <c r="S481" s="948"/>
    </row>
    <row r="482" spans="1:19">
      <c r="S482" s="355"/>
    </row>
    <row r="483" spans="1:19">
      <c r="A483" s="936"/>
      <c r="B483" s="936"/>
      <c r="C483" s="936"/>
      <c r="D483" s="936"/>
      <c r="E483" s="936"/>
      <c r="F483" s="936"/>
      <c r="G483" s="936"/>
      <c r="H483" s="936"/>
      <c r="I483" s="936"/>
      <c r="J483" s="936"/>
      <c r="K483" s="936"/>
      <c r="L483" s="936"/>
      <c r="M483" s="936"/>
      <c r="N483" s="936"/>
      <c r="O483" s="936"/>
      <c r="P483" s="936"/>
      <c r="Q483" s="936"/>
      <c r="R483" s="936"/>
    </row>
    <row r="484" spans="1:19" ht="19.5" customHeight="1">
      <c r="A484" s="936"/>
      <c r="B484" s="936"/>
      <c r="C484" s="818"/>
      <c r="D484" s="818"/>
      <c r="E484" s="818"/>
      <c r="F484" s="625"/>
      <c r="G484" s="519"/>
      <c r="H484" s="818"/>
      <c r="I484" s="631"/>
      <c r="J484" s="627"/>
      <c r="K484" s="627"/>
      <c r="L484" s="627"/>
      <c r="M484" s="936"/>
      <c r="N484" s="936"/>
      <c r="O484" s="936"/>
      <c r="P484" s="936"/>
      <c r="Q484" s="936"/>
      <c r="R484" s="936"/>
    </row>
    <row r="485" spans="1:19" ht="59.25" customHeight="1">
      <c r="A485" s="937"/>
      <c r="B485" s="937"/>
      <c r="C485" s="818"/>
      <c r="D485" s="818"/>
      <c r="E485" s="818"/>
      <c r="F485" s="626"/>
      <c r="G485" s="520"/>
      <c r="H485" s="818"/>
      <c r="I485" s="631"/>
      <c r="J485" s="627"/>
      <c r="K485" s="627"/>
      <c r="L485" s="627"/>
      <c r="M485" s="938" t="s">
        <v>154</v>
      </c>
      <c r="N485" s="938"/>
      <c r="O485" s="938"/>
      <c r="P485" s="938"/>
      <c r="Q485" s="938"/>
      <c r="R485" s="938"/>
    </row>
    <row r="486" spans="1:19" ht="42.75" customHeight="1">
      <c r="A486" s="949"/>
      <c r="B486" s="949"/>
      <c r="C486" s="818"/>
      <c r="D486" s="818"/>
      <c r="E486" s="818"/>
      <c r="F486" s="626"/>
      <c r="G486" s="520"/>
      <c r="H486" s="818"/>
      <c r="I486" s="631"/>
      <c r="J486" s="627"/>
      <c r="K486" s="627"/>
      <c r="L486" s="627"/>
      <c r="M486" s="938"/>
      <c r="N486" s="938"/>
      <c r="O486" s="938"/>
      <c r="P486" s="938"/>
      <c r="Q486" s="938"/>
      <c r="R486" s="938"/>
    </row>
    <row r="487" spans="1:19" ht="27" customHeight="1">
      <c r="A487" s="949"/>
      <c r="B487" s="949"/>
      <c r="C487" s="818"/>
      <c r="D487" s="818"/>
      <c r="E487" s="818"/>
      <c r="F487" s="626"/>
      <c r="G487" s="520"/>
      <c r="H487" s="818"/>
      <c r="I487" s="631"/>
      <c r="J487" s="627"/>
      <c r="K487" s="627"/>
      <c r="L487" s="627"/>
      <c r="M487" s="938"/>
      <c r="N487" s="938"/>
      <c r="O487" s="938"/>
      <c r="P487" s="938"/>
      <c r="Q487" s="938"/>
      <c r="R487" s="938"/>
    </row>
    <row r="488" spans="1:19" ht="40.5" customHeight="1">
      <c r="A488" s="949"/>
      <c r="B488" s="949"/>
      <c r="C488" s="818"/>
      <c r="D488" s="818"/>
      <c r="E488" s="818"/>
      <c r="F488" s="626"/>
      <c r="G488" s="520"/>
      <c r="H488" s="818"/>
      <c r="I488" s="631"/>
      <c r="J488" s="627"/>
      <c r="K488" s="627"/>
      <c r="L488" s="627"/>
      <c r="M488" s="938"/>
      <c r="N488" s="938"/>
      <c r="O488" s="938"/>
      <c r="P488" s="938"/>
      <c r="Q488" s="938"/>
      <c r="R488" s="938"/>
    </row>
    <row r="489" spans="1:19" ht="35.25" customHeight="1">
      <c r="A489" s="949"/>
      <c r="B489" s="949"/>
      <c r="C489" s="818"/>
      <c r="D489" s="818"/>
      <c r="E489" s="818"/>
      <c r="F489" s="626"/>
      <c r="G489" s="520"/>
      <c r="H489" s="818"/>
      <c r="I489" s="631"/>
      <c r="J489" s="627"/>
      <c r="K489" s="627"/>
      <c r="L489" s="627"/>
      <c r="M489" s="938"/>
      <c r="N489" s="938"/>
      <c r="O489" s="938"/>
      <c r="P489" s="938"/>
      <c r="Q489" s="938"/>
      <c r="R489" s="938"/>
    </row>
    <row r="490" spans="1:19" ht="41.25" customHeight="1">
      <c r="A490" s="949"/>
      <c r="B490" s="949"/>
      <c r="C490" s="818"/>
      <c r="D490" s="818"/>
      <c r="E490" s="818"/>
      <c r="F490" s="626"/>
      <c r="G490" s="520"/>
      <c r="H490" s="818"/>
      <c r="I490" s="631"/>
      <c r="J490" s="627"/>
      <c r="K490" s="627"/>
      <c r="L490" s="627"/>
      <c r="M490" s="938"/>
      <c r="N490" s="938"/>
      <c r="O490" s="938"/>
      <c r="P490" s="938"/>
      <c r="Q490" s="938"/>
      <c r="R490" s="938"/>
    </row>
    <row r="491" spans="1:19" ht="39" customHeight="1">
      <c r="A491" s="949"/>
      <c r="B491" s="949"/>
      <c r="C491" s="818"/>
      <c r="D491" s="818"/>
      <c r="E491" s="818"/>
      <c r="F491" s="626"/>
      <c r="G491" s="520"/>
      <c r="H491" s="818"/>
      <c r="I491" s="631"/>
      <c r="J491" s="627"/>
      <c r="K491" s="627"/>
      <c r="L491" s="627"/>
      <c r="M491" s="938"/>
      <c r="N491" s="938"/>
      <c r="O491" s="938"/>
      <c r="P491" s="938"/>
      <c r="Q491" s="938"/>
      <c r="R491" s="938"/>
    </row>
    <row r="492" spans="1:19" ht="81" customHeight="1">
      <c r="A492" s="949"/>
      <c r="B492" s="949"/>
      <c r="C492" s="818"/>
      <c r="D492" s="818"/>
      <c r="E492" s="818"/>
      <c r="F492" s="626"/>
      <c r="G492" s="520"/>
      <c r="H492" s="818"/>
      <c r="I492" s="631"/>
      <c r="J492" s="627"/>
      <c r="K492" s="627"/>
      <c r="L492" s="627"/>
      <c r="M492" s="938"/>
      <c r="N492" s="938"/>
      <c r="O492" s="938"/>
      <c r="P492" s="938"/>
      <c r="Q492" s="938"/>
      <c r="R492" s="938"/>
    </row>
    <row r="493" spans="1:19" ht="33.75" customHeight="1">
      <c r="A493" s="949"/>
      <c r="B493" s="949"/>
      <c r="C493" s="818"/>
      <c r="D493" s="818"/>
      <c r="E493" s="818"/>
      <c r="F493" s="626"/>
      <c r="G493" s="520"/>
      <c r="H493" s="818"/>
      <c r="I493" s="631"/>
      <c r="J493" s="627"/>
      <c r="K493" s="627"/>
      <c r="L493" s="627"/>
      <c r="M493" s="938"/>
      <c r="N493" s="938"/>
      <c r="O493" s="938"/>
      <c r="P493" s="938"/>
      <c r="Q493" s="938"/>
      <c r="R493" s="938"/>
    </row>
    <row r="494" spans="1:19" ht="147.75" customHeight="1">
      <c r="A494" s="949"/>
      <c r="B494" s="949"/>
      <c r="C494" s="818"/>
      <c r="D494" s="818"/>
      <c r="E494" s="818"/>
      <c r="F494" s="626"/>
      <c r="G494" s="520"/>
      <c r="H494" s="818"/>
      <c r="I494" s="631"/>
      <c r="J494" s="627"/>
      <c r="K494" s="627"/>
      <c r="L494" s="627"/>
      <c r="M494" s="938"/>
      <c r="N494" s="938"/>
      <c r="O494" s="938"/>
      <c r="P494" s="938"/>
      <c r="Q494" s="938"/>
      <c r="R494" s="938"/>
    </row>
    <row r="495" spans="1:19" ht="36" customHeight="1">
      <c r="A495" s="949"/>
      <c r="B495" s="949"/>
      <c r="C495" s="818"/>
      <c r="D495" s="818"/>
      <c r="E495" s="818"/>
      <c r="F495" s="626"/>
      <c r="G495" s="520"/>
      <c r="H495" s="818"/>
      <c r="I495" s="631"/>
      <c r="J495" s="627"/>
      <c r="K495" s="627"/>
      <c r="L495" s="627"/>
      <c r="M495" s="938"/>
      <c r="N495" s="938"/>
      <c r="O495" s="938"/>
      <c r="P495" s="938"/>
      <c r="Q495" s="938"/>
      <c r="R495" s="938"/>
    </row>
    <row r="496" spans="1:19" ht="82.5" customHeight="1">
      <c r="A496" s="949"/>
      <c r="B496" s="949"/>
      <c r="C496" s="818"/>
      <c r="D496" s="818"/>
      <c r="E496" s="818"/>
      <c r="F496" s="626"/>
      <c r="G496" s="520"/>
      <c r="H496" s="818"/>
      <c r="I496" s="631"/>
      <c r="J496" s="627"/>
      <c r="K496" s="627"/>
      <c r="L496" s="627"/>
      <c r="M496" s="938"/>
      <c r="N496" s="938"/>
      <c r="O496" s="938"/>
      <c r="P496" s="938"/>
      <c r="Q496" s="938"/>
      <c r="R496" s="938"/>
    </row>
    <row r="497" spans="1:18" ht="22.5" customHeight="1">
      <c r="A497" s="949"/>
      <c r="B497" s="950"/>
      <c r="C497" s="950"/>
      <c r="D497" s="950"/>
      <c r="E497" s="950"/>
      <c r="F497" s="950"/>
      <c r="G497" s="950"/>
      <c r="H497" s="950"/>
      <c r="I497" s="950"/>
      <c r="J497" s="950"/>
      <c r="K497" s="950"/>
      <c r="L497" s="950"/>
      <c r="M497" s="950"/>
      <c r="N497" s="950"/>
      <c r="O497" s="950"/>
      <c r="P497" s="950"/>
      <c r="Q497" s="950"/>
      <c r="R497" s="950"/>
    </row>
  </sheetData>
  <autoFilter ref="A6:V481" xr:uid="{00000000-0009-0000-0000-000001000000}"/>
  <mergeCells count="40">
    <mergeCell ref="A495:B495"/>
    <mergeCell ref="M495:R495"/>
    <mergeCell ref="A496:B496"/>
    <mergeCell ref="M496:R496"/>
    <mergeCell ref="A497:R497"/>
    <mergeCell ref="A486:B486"/>
    <mergeCell ref="M486:R486"/>
    <mergeCell ref="A487:B487"/>
    <mergeCell ref="M487:R487"/>
    <mergeCell ref="A488:B488"/>
    <mergeCell ref="M488:R488"/>
    <mergeCell ref="A494:B494"/>
    <mergeCell ref="M494:R494"/>
    <mergeCell ref="A489:B489"/>
    <mergeCell ref="M489:R489"/>
    <mergeCell ref="A490:B490"/>
    <mergeCell ref="M490:R490"/>
    <mergeCell ref="A491:B491"/>
    <mergeCell ref="M491:R491"/>
    <mergeCell ref="A492:B492"/>
    <mergeCell ref="M492:R492"/>
    <mergeCell ref="A493:B493"/>
    <mergeCell ref="M493:R493"/>
    <mergeCell ref="M484:R484"/>
    <mergeCell ref="A485:B485"/>
    <mergeCell ref="M485:R485"/>
    <mergeCell ref="A5:A6"/>
    <mergeCell ref="B5:K5"/>
    <mergeCell ref="M5:R5"/>
    <mergeCell ref="A480:B480"/>
    <mergeCell ref="A481:S481"/>
    <mergeCell ref="A483:R483"/>
    <mergeCell ref="A484:B484"/>
    <mergeCell ref="A2:V2"/>
    <mergeCell ref="A3:V3"/>
    <mergeCell ref="A1:V1"/>
    <mergeCell ref="T5:T6"/>
    <mergeCell ref="U5:U6"/>
    <mergeCell ref="V5:V6"/>
    <mergeCell ref="S5:S6"/>
  </mergeCells>
  <printOptions horizontalCentered="1" verticalCentered="1"/>
  <pageMargins left="0" right="0" top="0.98425196850393704" bottom="0.98425196850393704" header="0" footer="0"/>
  <pageSetup scale="49"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184"/>
  <sheetViews>
    <sheetView showGridLines="0" topLeftCell="A19" zoomScale="98" zoomScaleNormal="98" workbookViewId="0">
      <selection activeCell="E13" sqref="E13:R13"/>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6" width="12.140625" style="241" customWidth="1"/>
    <col min="7" max="11" width="10.7109375" style="241"/>
    <col min="12" max="12" width="23" style="241" customWidth="1"/>
    <col min="13" max="13" width="11" style="241" customWidth="1"/>
    <col min="14" max="16" width="8.85546875" style="241" customWidth="1"/>
    <col min="17"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746</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c r="L6" s="4"/>
    </row>
    <row r="7" spans="1:21" ht="15.75" thickBot="1">
      <c r="B7" s="702"/>
      <c r="C7" s="706"/>
      <c r="D7" s="4"/>
      <c r="E7" s="13"/>
      <c r="F7" s="4" t="s">
        <v>1439</v>
      </c>
      <c r="G7" s="4"/>
      <c r="H7" s="4"/>
      <c r="I7" s="4"/>
      <c r="J7" s="4"/>
      <c r="K7" s="4" t="s">
        <v>1943</v>
      </c>
    </row>
    <row r="8" spans="1:21" ht="15.75" thickBot="1">
      <c r="B8" s="132" t="s">
        <v>1440</v>
      </c>
      <c r="C8" s="164">
        <v>2020</v>
      </c>
      <c r="D8" s="169" t="e">
        <f>IF(E10="NO APLICA","NO APLICA",IF(E11="NO SE REPORTA","SIN INFORMACION",+M34))</f>
        <v>#DIV/0!</v>
      </c>
      <c r="E8" s="165"/>
      <c r="F8" s="4" t="s">
        <v>1441</v>
      </c>
      <c r="G8" s="4"/>
      <c r="H8" s="4"/>
      <c r="I8" s="4"/>
      <c r="J8" s="4"/>
      <c r="K8" s="4"/>
      <c r="L8" s="4"/>
    </row>
    <row r="9" spans="1:21">
      <c r="B9" s="300" t="s">
        <v>1442</v>
      </c>
      <c r="C9" s="64"/>
      <c r="D9" s="4"/>
      <c r="E9" s="4"/>
      <c r="F9" s="4"/>
      <c r="G9" s="4"/>
      <c r="H9" s="4"/>
      <c r="I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1944</v>
      </c>
      <c r="F12" s="1056"/>
      <c r="G12" s="1056"/>
      <c r="H12" s="1056"/>
      <c r="I12" s="1056"/>
      <c r="J12" s="1056"/>
      <c r="K12" s="1056"/>
      <c r="L12" s="1056"/>
      <c r="M12" s="1056"/>
      <c r="N12" s="1056"/>
      <c r="O12" s="1056"/>
      <c r="P12" s="1056"/>
      <c r="Q12" s="1056"/>
      <c r="R12" s="1056"/>
    </row>
    <row r="13" spans="1:21" ht="21.95" customHeight="1">
      <c r="B13" s="300"/>
      <c r="C13" s="64"/>
      <c r="D13" s="132" t="s">
        <v>1447</v>
      </c>
      <c r="E13" s="1057" t="s">
        <v>1945</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row>
    <row r="15" spans="1:21" ht="15.6" customHeight="1" thickBot="1">
      <c r="B15" s="1032" t="s">
        <v>1449</v>
      </c>
      <c r="C15" s="65"/>
      <c r="D15" s="1009" t="s">
        <v>1816</v>
      </c>
      <c r="E15" s="1010"/>
      <c r="F15" s="1010"/>
      <c r="G15" s="1010"/>
      <c r="H15" s="1010"/>
      <c r="I15" s="1011"/>
      <c r="K15" s="240" t="s">
        <v>1919</v>
      </c>
      <c r="L15" s="240" t="s">
        <v>1946</v>
      </c>
      <c r="M15" s="240" t="s">
        <v>1947</v>
      </c>
      <c r="N15" s="240" t="s">
        <v>1576</v>
      </c>
      <c r="O15" s="168"/>
    </row>
    <row r="16" spans="1:21" ht="21.6" customHeight="1" thickBot="1">
      <c r="B16" s="1033"/>
      <c r="C16" s="878" t="s">
        <v>1402</v>
      </c>
      <c r="D16" s="842" t="s">
        <v>1603</v>
      </c>
      <c r="E16" s="872" t="s">
        <v>1604</v>
      </c>
      <c r="F16" s="4"/>
      <c r="G16" s="4"/>
      <c r="I16" s="17"/>
      <c r="K16" s="240" t="s">
        <v>1948</v>
      </c>
      <c r="L16" s="246" t="s">
        <v>1949</v>
      </c>
      <c r="M16" s="736">
        <v>0.05</v>
      </c>
      <c r="N16" s="736">
        <v>0.05</v>
      </c>
      <c r="O16" s="168"/>
    </row>
    <row r="17" spans="2:18" ht="39.75" customHeight="1" thickBot="1">
      <c r="B17" s="1033"/>
      <c r="C17" s="857" t="s">
        <v>1605</v>
      </c>
      <c r="D17" s="845" t="s">
        <v>1950</v>
      </c>
      <c r="E17" s="161">
        <v>223297</v>
      </c>
      <c r="F17" s="737"/>
      <c r="G17" s="4"/>
      <c r="I17" s="17"/>
      <c r="K17" s="240" t="s">
        <v>1469</v>
      </c>
      <c r="L17" s="246" t="s">
        <v>1951</v>
      </c>
      <c r="M17" s="736">
        <v>0.15</v>
      </c>
      <c r="N17" s="736">
        <f>+M17+N16</f>
        <v>0.2</v>
      </c>
      <c r="O17" s="168"/>
    </row>
    <row r="18" spans="2:18" ht="41.25" customHeight="1" thickBot="1">
      <c r="B18" s="1033"/>
      <c r="C18" s="857" t="s">
        <v>1607</v>
      </c>
      <c r="D18" s="845" t="s">
        <v>1952</v>
      </c>
      <c r="E18" s="161">
        <v>0</v>
      </c>
      <c r="F18" s="4"/>
      <c r="G18" s="4"/>
      <c r="I18" s="17"/>
      <c r="K18" s="240" t="s">
        <v>1953</v>
      </c>
      <c r="L18" s="246" t="s">
        <v>1954</v>
      </c>
      <c r="M18" s="736">
        <v>0.15</v>
      </c>
      <c r="N18" s="736">
        <f>+M18+N17</f>
        <v>0.35</v>
      </c>
      <c r="O18" s="168"/>
    </row>
    <row r="19" spans="2:18" ht="34.700000000000003" customHeight="1" thickBot="1">
      <c r="B19" s="1033"/>
      <c r="C19" s="857" t="s">
        <v>1610</v>
      </c>
      <c r="D19" s="845" t="s">
        <v>1955</v>
      </c>
      <c r="E19" s="161"/>
      <c r="F19" s="4" t="s">
        <v>744</v>
      </c>
      <c r="G19" s="4"/>
      <c r="I19" s="17"/>
      <c r="K19" s="240" t="s">
        <v>1956</v>
      </c>
      <c r="L19" s="246" t="s">
        <v>1957</v>
      </c>
      <c r="M19" s="736">
        <v>0.2</v>
      </c>
      <c r="N19" s="736">
        <f>+M19+N18</f>
        <v>0.55000000000000004</v>
      </c>
      <c r="O19" s="168"/>
    </row>
    <row r="20" spans="2:18" ht="34.700000000000003" customHeight="1" thickBot="1">
      <c r="B20" s="1033"/>
      <c r="C20" s="857" t="s">
        <v>1713</v>
      </c>
      <c r="D20" s="845" t="s">
        <v>1958</v>
      </c>
      <c r="E20" s="96">
        <f>+E18+E19</f>
        <v>0</v>
      </c>
      <c r="F20" s="4"/>
      <c r="G20" s="4"/>
      <c r="I20" s="17"/>
      <c r="K20" s="240" t="s">
        <v>1472</v>
      </c>
      <c r="L20" s="246" t="s">
        <v>1959</v>
      </c>
      <c r="M20" s="736">
        <v>0.2</v>
      </c>
      <c r="N20" s="736">
        <f>+M20+N19</f>
        <v>0.75</v>
      </c>
      <c r="O20" s="168"/>
    </row>
    <row r="21" spans="2:18" ht="34.700000000000003" customHeight="1" thickBot="1">
      <c r="B21" s="1033"/>
      <c r="C21" s="857" t="s">
        <v>1715</v>
      </c>
      <c r="D21" s="845" t="s">
        <v>1960</v>
      </c>
      <c r="E21" s="161">
        <v>0</v>
      </c>
      <c r="F21" s="4"/>
      <c r="G21" s="4"/>
      <c r="I21" s="17"/>
      <c r="K21" s="240" t="s">
        <v>1961</v>
      </c>
      <c r="L21" s="246" t="s">
        <v>1962</v>
      </c>
      <c r="M21" s="736">
        <v>0.25</v>
      </c>
      <c r="N21" s="736">
        <f>+M21+N20</f>
        <v>1</v>
      </c>
      <c r="R21" s="241" t="s">
        <v>1963</v>
      </c>
    </row>
    <row r="22" spans="2:18" ht="15" customHeight="1">
      <c r="B22" s="1033"/>
      <c r="C22" s="68"/>
      <c r="D22" s="1015"/>
      <c r="E22" s="1016"/>
      <c r="F22" s="1016"/>
      <c r="G22" s="1016"/>
      <c r="H22" s="1016"/>
      <c r="I22" s="1017"/>
      <c r="K22" s="240" t="s">
        <v>1604</v>
      </c>
      <c r="L22" s="240"/>
      <c r="M22" s="736">
        <f>SUM(M16:M21)</f>
        <v>1</v>
      </c>
    </row>
    <row r="23" spans="2:18" ht="15.75" thickBot="1">
      <c r="B23" s="1033"/>
      <c r="C23" s="68"/>
      <c r="D23" s="1044" t="s">
        <v>1964</v>
      </c>
      <c r="E23" s="1045"/>
      <c r="F23" s="1045"/>
      <c r="G23" s="1045"/>
      <c r="H23" s="1045"/>
      <c r="I23" s="1046"/>
      <c r="J23" s="4"/>
      <c r="K23" s="4"/>
      <c r="L23" s="4"/>
    </row>
    <row r="24" spans="2:18" ht="15" customHeight="1" thickBot="1">
      <c r="B24" s="1033"/>
      <c r="C24" s="890"/>
      <c r="D24" s="872" t="s">
        <v>1603</v>
      </c>
      <c r="E24" s="872" t="s">
        <v>1487</v>
      </c>
      <c r="F24" s="872" t="s">
        <v>1488</v>
      </c>
      <c r="G24" s="872" t="s">
        <v>1489</v>
      </c>
      <c r="H24" s="872" t="s">
        <v>1490</v>
      </c>
      <c r="I24" s="872" t="s">
        <v>1604</v>
      </c>
      <c r="J24" s="4"/>
      <c r="K24" s="1131" t="s">
        <v>1919</v>
      </c>
      <c r="L24" s="1131" t="s">
        <v>1965</v>
      </c>
      <c r="M24" s="1131" t="s">
        <v>1487</v>
      </c>
      <c r="N24" s="1131" t="s">
        <v>1488</v>
      </c>
      <c r="O24" s="1131" t="s">
        <v>1489</v>
      </c>
      <c r="P24" s="1131" t="s">
        <v>1490</v>
      </c>
    </row>
    <row r="25" spans="2:18" ht="28.5" customHeight="1" thickBot="1">
      <c r="B25" s="1033"/>
      <c r="C25" s="890"/>
      <c r="D25" s="845" t="s">
        <v>1966</v>
      </c>
      <c r="E25" s="161"/>
      <c r="F25" s="161"/>
      <c r="G25" s="161"/>
      <c r="H25" s="161"/>
      <c r="I25" s="237">
        <f>[1]Formulas!$I$15</f>
        <v>0</v>
      </c>
      <c r="J25" s="4"/>
      <c r="K25" s="1131"/>
      <c r="L25" s="1131"/>
      <c r="M25" s="1131"/>
      <c r="N25" s="1131"/>
      <c r="O25" s="1131"/>
      <c r="P25" s="1131"/>
    </row>
    <row r="26" spans="2:18" ht="15" customHeight="1" thickBot="1">
      <c r="B26" s="1033"/>
      <c r="C26" s="890"/>
      <c r="D26" s="32" t="s">
        <v>1868</v>
      </c>
      <c r="E26" s="161"/>
      <c r="F26" s="161"/>
      <c r="G26" s="161"/>
      <c r="H26" s="161"/>
      <c r="I26" s="738"/>
      <c r="J26" s="4"/>
      <c r="K26" s="240" t="str">
        <f>+D26</f>
        <v>Sin iniciar</v>
      </c>
      <c r="L26" s="239"/>
      <c r="M26" s="236">
        <f>+$L26*E26</f>
        <v>0</v>
      </c>
      <c r="N26" s="236"/>
      <c r="O26" s="236"/>
      <c r="P26" s="236"/>
    </row>
    <row r="27" spans="2:18" ht="15" customHeight="1" thickBot="1">
      <c r="B27" s="1033"/>
      <c r="C27" s="890"/>
      <c r="D27" s="32" t="s">
        <v>1967</v>
      </c>
      <c r="E27" s="161"/>
      <c r="F27" s="161"/>
      <c r="G27" s="161"/>
      <c r="H27" s="161"/>
      <c r="I27" s="738"/>
      <c r="J27" s="4"/>
      <c r="K27" s="240" t="str">
        <f>+D27</f>
        <v>En formulación</v>
      </c>
      <c r="L27" s="239"/>
      <c r="M27" s="236">
        <f>+$L27*E27</f>
        <v>0</v>
      </c>
      <c r="N27" s="236"/>
      <c r="O27" s="236"/>
      <c r="P27" s="236"/>
    </row>
    <row r="28" spans="2:18" ht="15" customHeight="1" thickBot="1">
      <c r="B28" s="1033"/>
      <c r="C28" s="890"/>
      <c r="D28" s="32" t="s">
        <v>1968</v>
      </c>
      <c r="E28" s="161"/>
      <c r="F28" s="161"/>
      <c r="G28" s="161"/>
      <c r="H28" s="161"/>
      <c r="I28" s="738"/>
      <c r="J28" s="4"/>
      <c r="K28" s="240" t="str">
        <f>+D28</f>
        <v>En actualización</v>
      </c>
      <c r="L28" s="239"/>
      <c r="M28" s="236">
        <f>+$L28*E28</f>
        <v>0</v>
      </c>
      <c r="N28" s="236"/>
      <c r="O28" s="236"/>
      <c r="P28" s="236"/>
    </row>
    <row r="29" spans="2:18" ht="15.75" thickBot="1">
      <c r="B29" s="1033"/>
      <c r="C29" s="890"/>
      <c r="D29" s="32" t="s">
        <v>1969</v>
      </c>
      <c r="E29" s="161"/>
      <c r="F29" s="161"/>
      <c r="G29" s="161"/>
      <c r="H29" s="161"/>
      <c r="I29" s="738"/>
      <c r="J29" s="4"/>
      <c r="K29" s="240" t="str">
        <f>+D29</f>
        <v>Plan forestal adoptado</v>
      </c>
      <c r="L29" s="239"/>
      <c r="M29" s="236">
        <f>+$L29*E29</f>
        <v>0</v>
      </c>
      <c r="N29" s="236"/>
      <c r="O29" s="236"/>
      <c r="P29" s="236"/>
    </row>
    <row r="30" spans="2:18" ht="15" customHeight="1" thickBot="1">
      <c r="B30" s="1033"/>
      <c r="C30" s="890"/>
      <c r="D30" s="32" t="s">
        <v>1604</v>
      </c>
      <c r="E30" s="100">
        <f>[1]Formulas!D15</f>
        <v>0</v>
      </c>
      <c r="F30" s="100">
        <f>[1]Formulas!E15</f>
        <v>0</v>
      </c>
      <c r="G30" s="100">
        <f>[1]Formulas!F15</f>
        <v>0</v>
      </c>
      <c r="H30" s="100">
        <f>[1]Formulas!G15</f>
        <v>0</v>
      </c>
      <c r="I30" s="738"/>
      <c r="J30" s="4"/>
      <c r="K30" s="240"/>
      <c r="L30" s="240" t="s">
        <v>1970</v>
      </c>
      <c r="M30" s="236">
        <f>SUM(M26:M29)</f>
        <v>0</v>
      </c>
      <c r="N30" s="236"/>
      <c r="O30" s="236"/>
      <c r="P30" s="236"/>
    </row>
    <row r="31" spans="2:18" ht="14.45" customHeight="1">
      <c r="B31" s="1033"/>
      <c r="C31" s="68"/>
      <c r="D31" s="1009" t="s">
        <v>1971</v>
      </c>
      <c r="E31" s="1010"/>
      <c r="F31" s="1010"/>
      <c r="G31" s="1010"/>
      <c r="H31" s="1010"/>
      <c r="I31" s="1011"/>
      <c r="J31" s="4"/>
      <c r="K31" s="240"/>
      <c r="L31" s="240" t="s">
        <v>1972</v>
      </c>
      <c r="M31" s="238" t="e">
        <f>+M30/$I$25</f>
        <v>#DIV/0!</v>
      </c>
      <c r="N31" s="238"/>
      <c r="O31" s="238"/>
      <c r="P31" s="238"/>
    </row>
    <row r="32" spans="2:18" ht="24" customHeight="1">
      <c r="B32" s="1033"/>
      <c r="C32" s="68"/>
      <c r="D32" s="1015" t="s">
        <v>1973</v>
      </c>
      <c r="E32" s="1016"/>
      <c r="F32" s="1016"/>
      <c r="G32" s="1016"/>
      <c r="H32" s="1016"/>
      <c r="I32" s="1017"/>
      <c r="J32" s="4"/>
      <c r="K32" s="240"/>
      <c r="L32" s="240" t="s">
        <v>1974</v>
      </c>
      <c r="M32" s="238" t="e">
        <f>+M45</f>
        <v>#DIV/0!</v>
      </c>
      <c r="N32" s="238"/>
      <c r="O32" s="238"/>
      <c r="P32" s="238"/>
    </row>
    <row r="33" spans="2:16" ht="15" customHeight="1" thickBot="1">
      <c r="B33" s="1033"/>
      <c r="C33" s="68"/>
      <c r="D33" s="1012" t="s">
        <v>1975</v>
      </c>
      <c r="E33" s="1013"/>
      <c r="F33" s="1013"/>
      <c r="G33" s="1013"/>
      <c r="H33" s="1013"/>
      <c r="I33" s="1014"/>
      <c r="J33" s="4"/>
      <c r="K33" s="240"/>
      <c r="L33" s="240" t="s">
        <v>1976</v>
      </c>
      <c r="M33" s="236">
        <f>+M46</f>
        <v>0</v>
      </c>
      <c r="N33" s="236"/>
      <c r="O33" s="236"/>
      <c r="P33" s="236"/>
    </row>
    <row r="34" spans="2:16" ht="48.75" thickBot="1">
      <c r="B34" s="1033"/>
      <c r="C34" s="890"/>
      <c r="D34" s="842" t="s">
        <v>1977</v>
      </c>
      <c r="E34" s="842" t="s">
        <v>1978</v>
      </c>
      <c r="F34" s="842" t="s">
        <v>1979</v>
      </c>
      <c r="G34" s="842" t="s">
        <v>1980</v>
      </c>
      <c r="H34" s="842" t="s">
        <v>1981</v>
      </c>
      <c r="I34" s="17"/>
      <c r="J34" s="4"/>
      <c r="K34" s="240"/>
      <c r="L34" s="240" t="s">
        <v>746</v>
      </c>
      <c r="M34" s="238" t="e">
        <f>+M30/M33</f>
        <v>#DIV/0!</v>
      </c>
      <c r="N34" s="238"/>
      <c r="O34" s="238"/>
      <c r="P34" s="238"/>
    </row>
    <row r="35" spans="2:16" ht="15" customHeight="1" thickBot="1">
      <c r="B35" s="1033"/>
      <c r="C35" s="890"/>
      <c r="D35" s="25"/>
      <c r="E35" s="25"/>
      <c r="F35" s="161"/>
      <c r="G35" s="25"/>
      <c r="H35" s="25"/>
      <c r="I35" s="17"/>
      <c r="J35" s="4"/>
      <c r="K35" s="4"/>
      <c r="L35" s="4"/>
      <c r="M35" s="4"/>
      <c r="N35" s="4"/>
      <c r="O35" s="4"/>
      <c r="P35" s="4"/>
    </row>
    <row r="36" spans="2:16" ht="15" customHeight="1" thickBot="1">
      <c r="B36" s="1033"/>
      <c r="C36" s="890"/>
      <c r="D36" s="25"/>
      <c r="E36" s="25"/>
      <c r="F36" s="161"/>
      <c r="G36" s="25"/>
      <c r="H36" s="25"/>
      <c r="I36" s="17"/>
      <c r="J36" s="4"/>
      <c r="K36" s="4"/>
      <c r="L36" s="4"/>
    </row>
    <row r="37" spans="2:16" ht="15" customHeight="1" thickBot="1">
      <c r="B37" s="1033"/>
      <c r="C37" s="890"/>
      <c r="D37" s="25"/>
      <c r="E37" s="25"/>
      <c r="F37" s="161"/>
      <c r="G37" s="25"/>
      <c r="H37" s="25"/>
      <c r="I37" s="17"/>
      <c r="J37" s="4"/>
      <c r="K37" s="4"/>
      <c r="L37" s="241" t="s">
        <v>1982</v>
      </c>
    </row>
    <row r="38" spans="2:16" ht="15" customHeight="1" thickBot="1">
      <c r="B38" s="1033"/>
      <c r="C38" s="890"/>
      <c r="D38" s="25"/>
      <c r="E38" s="25"/>
      <c r="F38" s="161"/>
      <c r="G38" s="25"/>
      <c r="H38" s="25"/>
      <c r="I38" s="17"/>
      <c r="J38" s="4"/>
      <c r="K38" s="4"/>
      <c r="L38" s="4"/>
    </row>
    <row r="39" spans="2:16" ht="15" customHeight="1" thickBot="1">
      <c r="B39" s="1033"/>
      <c r="C39" s="890"/>
      <c r="D39" s="25"/>
      <c r="E39" s="25"/>
      <c r="F39" s="161"/>
      <c r="G39" s="25"/>
      <c r="H39" s="25"/>
      <c r="I39" s="17"/>
      <c r="J39" s="4"/>
      <c r="K39" s="1131" t="s">
        <v>1983</v>
      </c>
      <c r="L39" s="1131" t="s">
        <v>1984</v>
      </c>
      <c r="M39" s="1131" t="s">
        <v>1985</v>
      </c>
    </row>
    <row r="40" spans="2:16" ht="15" customHeight="1" thickBot="1">
      <c r="B40" s="1033"/>
      <c r="C40" s="890"/>
      <c r="D40" s="25"/>
      <c r="E40" s="25"/>
      <c r="F40" s="161"/>
      <c r="G40" s="25"/>
      <c r="H40" s="25"/>
      <c r="I40" s="17"/>
      <c r="J40" s="4"/>
      <c r="K40" s="1131"/>
      <c r="L40" s="1131"/>
      <c r="M40" s="1131"/>
    </row>
    <row r="41" spans="2:16" ht="15.75" thickBot="1">
      <c r="B41" s="1033"/>
      <c r="C41" s="890"/>
      <c r="D41" s="25"/>
      <c r="E41" s="25"/>
      <c r="F41" s="161"/>
      <c r="G41" s="25"/>
      <c r="H41" s="25"/>
      <c r="I41" s="17"/>
      <c r="J41" s="4"/>
      <c r="K41" s="240" t="str">
        <f>+K26</f>
        <v>Sin iniciar</v>
      </c>
      <c r="L41" s="273"/>
      <c r="M41" s="238">
        <v>0</v>
      </c>
    </row>
    <row r="42" spans="2:16" ht="15.75" thickBot="1">
      <c r="B42" s="1033"/>
      <c r="C42" s="890"/>
      <c r="D42" s="25"/>
      <c r="E42" s="25"/>
      <c r="F42" s="161"/>
      <c r="G42" s="25"/>
      <c r="H42" s="25"/>
      <c r="I42" s="17"/>
      <c r="J42" s="4"/>
      <c r="K42" s="240" t="str">
        <f>+K27</f>
        <v>En formulación</v>
      </c>
      <c r="L42" s="273"/>
      <c r="M42" s="242"/>
    </row>
    <row r="43" spans="2:16" ht="24" customHeight="1" thickBot="1">
      <c r="B43" s="1034"/>
      <c r="C43" s="69"/>
      <c r="D43" s="1044" t="s">
        <v>1986</v>
      </c>
      <c r="E43" s="1045"/>
      <c r="F43" s="1045"/>
      <c r="G43" s="1045"/>
      <c r="H43" s="1045"/>
      <c r="I43" s="1046"/>
      <c r="J43" s="4"/>
      <c r="K43" s="240" t="str">
        <f>+K28</f>
        <v>En actualización</v>
      </c>
      <c r="L43" s="273"/>
      <c r="M43" s="242"/>
    </row>
    <row r="44" spans="2:16" ht="24" customHeight="1" thickBot="1">
      <c r="B44" s="839" t="s">
        <v>1504</v>
      </c>
      <c r="C44" s="69"/>
      <c r="D44" s="1041" t="s">
        <v>1987</v>
      </c>
      <c r="E44" s="1042"/>
      <c r="F44" s="1042"/>
      <c r="G44" s="1042"/>
      <c r="H44" s="1042"/>
      <c r="I44" s="1043"/>
      <c r="J44" s="4"/>
      <c r="K44" s="240" t="str">
        <f>+K29</f>
        <v>Plan forestal adoptado</v>
      </c>
      <c r="L44" s="273"/>
      <c r="M44" s="242"/>
    </row>
    <row r="45" spans="2:16" ht="24.75" thickBot="1">
      <c r="B45" s="839" t="s">
        <v>1506</v>
      </c>
      <c r="C45" s="69"/>
      <c r="D45" s="1041" t="s">
        <v>1831</v>
      </c>
      <c r="E45" s="1042"/>
      <c r="F45" s="1042"/>
      <c r="G45" s="1042"/>
      <c r="H45" s="1042"/>
      <c r="I45" s="1043"/>
      <c r="J45" s="4"/>
      <c r="K45" s="240" t="s">
        <v>1604</v>
      </c>
      <c r="L45" s="236">
        <f>SUM(L41:L44)</f>
        <v>0</v>
      </c>
      <c r="M45" s="238" t="e">
        <f>+M46/L45</f>
        <v>#DIV/0!</v>
      </c>
    </row>
    <row r="46" spans="2:16" ht="15" customHeight="1" thickBot="1">
      <c r="B46" s="1"/>
      <c r="C46" s="55"/>
      <c r="D46" s="4"/>
      <c r="E46" s="4"/>
      <c r="F46" s="4"/>
      <c r="G46" s="4"/>
      <c r="H46" s="4"/>
      <c r="I46" s="4"/>
      <c r="J46" s="4"/>
      <c r="K46" s="240"/>
      <c r="L46" s="240" t="s">
        <v>1988</v>
      </c>
      <c r="M46" s="236">
        <f>+L41*M41+L42*M42+L43*M43+L44*M44</f>
        <v>0</v>
      </c>
    </row>
    <row r="47" spans="2:16" ht="24" customHeight="1" thickBot="1">
      <c r="B47" s="1029" t="s">
        <v>1508</v>
      </c>
      <c r="C47" s="1030"/>
      <c r="D47" s="1030"/>
      <c r="E47" s="1031"/>
      <c r="F47" s="4"/>
      <c r="G47" s="4"/>
      <c r="H47" s="4"/>
      <c r="I47" s="4"/>
      <c r="J47" s="4"/>
      <c r="K47" s="4"/>
      <c r="L47" s="4"/>
      <c r="M47" s="4"/>
      <c r="N47" s="4"/>
    </row>
    <row r="48" spans="2:16" ht="15" customHeight="1" thickBot="1">
      <c r="B48" s="1032">
        <v>1</v>
      </c>
      <c r="C48" s="890"/>
      <c r="D48" s="37" t="s">
        <v>1509</v>
      </c>
      <c r="E48" s="25" t="s">
        <v>1510</v>
      </c>
      <c r="F48" s="4"/>
      <c r="G48" s="4"/>
      <c r="H48" s="4"/>
      <c r="I48" s="4"/>
      <c r="J48" s="4"/>
      <c r="K48" s="4"/>
      <c r="L48" s="4"/>
      <c r="M48" s="4"/>
      <c r="N48" s="4"/>
    </row>
    <row r="49" spans="2:14" ht="28.5" customHeight="1" thickBot="1">
      <c r="B49" s="1033"/>
      <c r="C49" s="890"/>
      <c r="D49" s="845" t="s">
        <v>10</v>
      </c>
      <c r="E49" s="24" t="s">
        <v>1511</v>
      </c>
      <c r="F49" s="4"/>
      <c r="G49" s="4"/>
      <c r="H49" s="4"/>
      <c r="I49" s="4"/>
      <c r="J49" s="4"/>
      <c r="K49" s="4"/>
      <c r="L49" s="4"/>
      <c r="M49" s="4"/>
      <c r="N49" s="4"/>
    </row>
    <row r="50" spans="2:14" ht="24" customHeight="1" thickBot="1">
      <c r="B50" s="1033"/>
      <c r="C50" s="890"/>
      <c r="D50" s="845" t="s">
        <v>1512</v>
      </c>
      <c r="E50" s="24" t="s">
        <v>1615</v>
      </c>
      <c r="F50" s="4"/>
      <c r="G50" s="4"/>
      <c r="H50" s="4"/>
      <c r="I50" s="4"/>
      <c r="J50" s="4"/>
      <c r="K50" s="4"/>
      <c r="L50" s="4"/>
      <c r="M50" s="4"/>
      <c r="N50" s="4"/>
    </row>
    <row r="51" spans="2:14" ht="15" customHeight="1" thickBot="1">
      <c r="B51" s="1033"/>
      <c r="C51" s="890"/>
      <c r="D51" s="845" t="s">
        <v>13</v>
      </c>
      <c r="E51" s="25" t="s">
        <v>1514</v>
      </c>
      <c r="F51" s="4"/>
      <c r="G51" s="4"/>
      <c r="H51" s="4"/>
      <c r="I51" s="4"/>
      <c r="J51" s="4"/>
      <c r="K51" s="4"/>
      <c r="L51" s="4"/>
      <c r="M51" s="4"/>
      <c r="N51" s="4"/>
    </row>
    <row r="52" spans="2:14" ht="49.5" customHeight="1" thickBot="1">
      <c r="B52" s="1033"/>
      <c r="C52" s="890"/>
      <c r="D52" s="845" t="s">
        <v>16</v>
      </c>
      <c r="E52" s="704" t="s">
        <v>1515</v>
      </c>
      <c r="F52" s="4"/>
      <c r="G52" s="4"/>
      <c r="H52" s="4"/>
      <c r="I52" s="4"/>
      <c r="J52" s="4"/>
      <c r="K52" s="4"/>
      <c r="L52" s="4"/>
    </row>
    <row r="53" spans="2:14" ht="15" customHeight="1" thickBot="1">
      <c r="B53" s="1033"/>
      <c r="C53" s="890"/>
      <c r="D53" s="845" t="s">
        <v>19</v>
      </c>
      <c r="E53" s="121">
        <v>3686626</v>
      </c>
      <c r="F53" s="4"/>
      <c r="G53" s="4"/>
      <c r="H53" s="4"/>
      <c r="I53" s="4"/>
      <c r="J53" s="4"/>
      <c r="K53" s="4"/>
      <c r="L53" s="4"/>
    </row>
    <row r="54" spans="2:14" ht="27.75" customHeight="1" thickBot="1">
      <c r="B54" s="1034"/>
      <c r="C54" s="857"/>
      <c r="D54" s="845" t="s">
        <v>1516</v>
      </c>
      <c r="E54" s="24" t="s">
        <v>1517</v>
      </c>
      <c r="F54" s="4"/>
      <c r="G54" s="4"/>
      <c r="H54" s="4"/>
      <c r="I54" s="4"/>
      <c r="J54" s="4"/>
      <c r="K54" s="4"/>
      <c r="L54" s="4"/>
    </row>
    <row r="55" spans="2:14" ht="15" customHeight="1" thickBot="1">
      <c r="B55" s="1"/>
      <c r="C55" s="55"/>
      <c r="D55" s="4"/>
      <c r="E55" s="4"/>
      <c r="F55" s="4"/>
      <c r="G55" s="4"/>
      <c r="H55" s="4"/>
      <c r="I55" s="4"/>
      <c r="J55" s="4"/>
      <c r="K55" s="4"/>
      <c r="L55" s="4"/>
    </row>
    <row r="56" spans="2:14" ht="15" customHeight="1" thickBot="1">
      <c r="B56" s="1029" t="s">
        <v>1518</v>
      </c>
      <c r="C56" s="1030"/>
      <c r="D56" s="1030"/>
      <c r="E56" s="1031"/>
      <c r="F56" s="4"/>
      <c r="G56" s="4"/>
      <c r="H56" s="4"/>
      <c r="I56" s="4"/>
      <c r="J56" s="4"/>
      <c r="K56" s="4"/>
      <c r="L56" s="4"/>
    </row>
    <row r="57" spans="2:14" ht="15" customHeight="1" thickBot="1">
      <c r="B57" s="1032">
        <v>1</v>
      </c>
      <c r="C57" s="890"/>
      <c r="D57" s="37" t="s">
        <v>1509</v>
      </c>
      <c r="E57" s="299" t="s">
        <v>1519</v>
      </c>
      <c r="F57" s="4"/>
      <c r="G57" s="4"/>
      <c r="H57" s="4"/>
      <c r="I57" s="4"/>
      <c r="J57" s="4"/>
      <c r="K57" s="4"/>
      <c r="L57" s="4"/>
    </row>
    <row r="58" spans="2:14" ht="15" customHeight="1" thickBot="1">
      <c r="B58" s="1033"/>
      <c r="C58" s="890"/>
      <c r="D58" s="845" t="s">
        <v>10</v>
      </c>
      <c r="E58" s="299" t="s">
        <v>1616</v>
      </c>
      <c r="F58" s="4"/>
      <c r="G58" s="4"/>
      <c r="H58" s="4"/>
      <c r="I58" s="4"/>
      <c r="J58" s="4"/>
      <c r="K58" s="4"/>
      <c r="L58" s="4"/>
    </row>
    <row r="59" spans="2:14" ht="15" customHeight="1" thickBot="1">
      <c r="B59" s="1033"/>
      <c r="C59" s="890"/>
      <c r="D59" s="845" t="s">
        <v>1512</v>
      </c>
      <c r="E59" s="211"/>
      <c r="F59" s="4"/>
      <c r="G59" s="4"/>
      <c r="H59" s="4"/>
      <c r="I59" s="4"/>
      <c r="J59" s="4"/>
      <c r="K59" s="4"/>
      <c r="L59" s="4"/>
    </row>
    <row r="60" spans="2:14" ht="15" customHeight="1" thickBot="1">
      <c r="B60" s="1033"/>
      <c r="C60" s="890"/>
      <c r="D60" s="845" t="s">
        <v>13</v>
      </c>
      <c r="E60" s="211"/>
      <c r="F60" s="4"/>
      <c r="G60" s="4"/>
      <c r="H60" s="4"/>
      <c r="I60" s="4"/>
      <c r="J60" s="4"/>
      <c r="K60" s="4"/>
      <c r="L60" s="4"/>
    </row>
    <row r="61" spans="2:14" ht="15.75" thickBot="1">
      <c r="B61" s="1033"/>
      <c r="C61" s="890"/>
      <c r="D61" s="845" t="s">
        <v>16</v>
      </c>
      <c r="E61" s="211"/>
      <c r="F61" s="4"/>
      <c r="G61" s="4"/>
      <c r="H61" s="4"/>
      <c r="I61" s="4"/>
      <c r="J61" s="4"/>
      <c r="K61" s="4"/>
      <c r="L61" s="4"/>
    </row>
    <row r="62" spans="2:14" ht="15.75" thickBot="1">
      <c r="B62" s="1033"/>
      <c r="C62" s="890"/>
      <c r="D62" s="845" t="s">
        <v>19</v>
      </c>
      <c r="E62" s="211"/>
      <c r="F62" s="4"/>
      <c r="G62" s="4"/>
      <c r="H62" s="4"/>
      <c r="I62" s="4"/>
      <c r="J62" s="4"/>
      <c r="K62" s="4"/>
      <c r="L62" s="4"/>
    </row>
    <row r="63" spans="2:14" ht="15" customHeight="1" thickBot="1">
      <c r="B63" s="1034"/>
      <c r="C63" s="857"/>
      <c r="D63" s="845" t="s">
        <v>1516</v>
      </c>
      <c r="E63" s="211"/>
      <c r="F63" s="4"/>
      <c r="G63" s="4"/>
      <c r="H63" s="4"/>
      <c r="I63" s="4"/>
      <c r="J63" s="4"/>
      <c r="K63" s="4"/>
      <c r="L63" s="4"/>
    </row>
    <row r="64" spans="2:14" ht="15" customHeight="1" thickBot="1">
      <c r="B64" s="828"/>
      <c r="C64" s="739"/>
      <c r="D64" s="828"/>
      <c r="E64" s="4"/>
      <c r="F64" s="4"/>
      <c r="G64" s="4"/>
      <c r="H64" s="4"/>
      <c r="I64" s="4"/>
      <c r="J64" s="4"/>
      <c r="K64" s="4"/>
      <c r="L64" s="4"/>
    </row>
    <row r="65" spans="2:12" ht="15" customHeight="1">
      <c r="B65" s="879" t="s">
        <v>1928</v>
      </c>
      <c r="C65" s="705"/>
      <c r="D65" s="4"/>
      <c r="E65" s="4"/>
      <c r="F65" s="4"/>
      <c r="G65" s="4"/>
      <c r="H65" s="4"/>
      <c r="I65" s="4"/>
      <c r="J65" s="4"/>
      <c r="K65" s="4"/>
      <c r="L65" s="4"/>
    </row>
    <row r="66" spans="2:12">
      <c r="B66" s="1068"/>
      <c r="C66" s="1069"/>
      <c r="D66" s="1070"/>
      <c r="E66" s="4"/>
      <c r="F66" s="4"/>
      <c r="G66" s="4"/>
      <c r="H66" s="4"/>
      <c r="I66" s="4"/>
      <c r="J66" s="4"/>
      <c r="K66" s="4"/>
      <c r="L66" s="4"/>
    </row>
    <row r="67" spans="2:12">
      <c r="B67" s="1071"/>
      <c r="C67" s="1072"/>
      <c r="D67" s="1073"/>
      <c r="E67" s="4"/>
      <c r="F67" s="4"/>
      <c r="G67" s="4"/>
      <c r="H67" s="4"/>
      <c r="I67" s="4"/>
      <c r="J67" s="4"/>
      <c r="K67" s="4"/>
      <c r="L67" s="4"/>
    </row>
    <row r="68" spans="2:12" ht="15.75" thickBot="1">
      <c r="B68" s="828"/>
      <c r="C68" s="739"/>
      <c r="D68" s="828"/>
      <c r="E68" s="4"/>
      <c r="F68" s="4"/>
      <c r="G68" s="4"/>
      <c r="H68" s="4"/>
      <c r="I68" s="4"/>
      <c r="J68" s="4"/>
      <c r="K68" s="4"/>
      <c r="L68" s="4"/>
    </row>
    <row r="69" spans="2:12" ht="15.75" thickBot="1">
      <c r="B69" s="1029" t="s">
        <v>1521</v>
      </c>
      <c r="C69" s="1030"/>
      <c r="D69" s="1030"/>
      <c r="E69" s="1030"/>
      <c r="F69" s="1031"/>
      <c r="G69" s="4"/>
      <c r="H69" s="4"/>
      <c r="I69" s="4"/>
      <c r="J69" s="4"/>
      <c r="K69" s="4"/>
      <c r="L69" s="4"/>
    </row>
    <row r="70" spans="2:12" ht="24.75" thickBot="1">
      <c r="B70" s="839" t="s">
        <v>1522</v>
      </c>
      <c r="C70" s="845" t="s">
        <v>1523</v>
      </c>
      <c r="D70" s="845" t="s">
        <v>1524</v>
      </c>
      <c r="E70" s="845" t="s">
        <v>1525</v>
      </c>
      <c r="F70" s="4"/>
      <c r="G70" s="4"/>
      <c r="H70" s="4"/>
      <c r="I70" s="4"/>
      <c r="J70" s="4"/>
      <c r="K70" s="4"/>
      <c r="L70" s="4"/>
    </row>
    <row r="71" spans="2:12" ht="72.75" thickBot="1">
      <c r="B71" s="38">
        <v>42401</v>
      </c>
      <c r="C71" s="845">
        <v>0.01</v>
      </c>
      <c r="D71" s="837" t="s">
        <v>1989</v>
      </c>
      <c r="E71" s="845"/>
      <c r="F71" s="4"/>
      <c r="G71" s="4"/>
      <c r="H71" s="4"/>
      <c r="I71" s="4"/>
      <c r="J71" s="4"/>
      <c r="K71" s="4"/>
    </row>
    <row r="72" spans="2:12">
      <c r="B72" s="1"/>
      <c r="C72" s="55"/>
      <c r="D72" s="4"/>
      <c r="E72" s="4"/>
      <c r="F72" s="4"/>
      <c r="G72" s="4"/>
      <c r="H72" s="4"/>
      <c r="I72" s="4"/>
      <c r="J72" s="4"/>
      <c r="K72" s="4"/>
    </row>
    <row r="73" spans="2:12" ht="15.75" thickBot="1">
      <c r="B73" s="4"/>
      <c r="D73" s="4"/>
      <c r="E73" s="4"/>
      <c r="F73" s="4"/>
      <c r="G73" s="4"/>
      <c r="H73" s="4"/>
      <c r="I73" s="4"/>
      <c r="J73" s="4"/>
      <c r="K73" s="4"/>
      <c r="L73" s="4"/>
    </row>
    <row r="74" spans="2:12" ht="15.75" thickBot="1">
      <c r="B74" s="1029" t="s">
        <v>1527</v>
      </c>
      <c r="C74" s="1030"/>
      <c r="D74" s="1031"/>
      <c r="E74" s="4"/>
      <c r="F74" s="4"/>
      <c r="G74" s="4"/>
      <c r="H74" s="4"/>
      <c r="I74" s="4"/>
      <c r="J74" s="4"/>
      <c r="K74" s="4"/>
      <c r="L74" s="4"/>
    </row>
    <row r="75" spans="2:12" ht="60.75" thickBot="1">
      <c r="B75" s="839" t="s">
        <v>1528</v>
      </c>
      <c r="C75" s="857"/>
      <c r="D75" s="845" t="s">
        <v>1990</v>
      </c>
      <c r="E75" s="4"/>
      <c r="F75" s="4"/>
      <c r="G75" s="4"/>
      <c r="H75" s="4"/>
      <c r="I75" s="4"/>
      <c r="J75" s="4"/>
      <c r="K75" s="4"/>
      <c r="L75" s="4"/>
    </row>
    <row r="76" spans="2:12">
      <c r="B76" s="1032" t="s">
        <v>1530</v>
      </c>
      <c r="C76" s="890"/>
      <c r="D76" s="836" t="s">
        <v>1531</v>
      </c>
      <c r="E76" s="4"/>
      <c r="F76" s="4"/>
      <c r="G76" s="4"/>
      <c r="H76" s="4"/>
      <c r="I76" s="4"/>
      <c r="J76" s="4"/>
      <c r="K76" s="4"/>
      <c r="L76" s="4"/>
    </row>
    <row r="77" spans="2:12" ht="132">
      <c r="B77" s="1033"/>
      <c r="C77" s="890"/>
      <c r="D77" s="829" t="s">
        <v>1991</v>
      </c>
      <c r="E77" s="4"/>
      <c r="F77" s="4"/>
      <c r="G77" s="4"/>
      <c r="H77" s="4"/>
      <c r="I77" s="4"/>
      <c r="J77" s="4"/>
      <c r="K77" s="4"/>
      <c r="L77" s="4"/>
    </row>
    <row r="78" spans="2:12">
      <c r="B78" s="1033"/>
      <c r="C78" s="890"/>
      <c r="D78" s="836" t="s">
        <v>1534</v>
      </c>
      <c r="E78" s="4"/>
      <c r="F78" s="4"/>
      <c r="G78" s="4"/>
      <c r="H78" s="4"/>
      <c r="I78" s="4"/>
      <c r="J78" s="4"/>
      <c r="K78" s="4"/>
      <c r="L78" s="4"/>
    </row>
    <row r="79" spans="2:12">
      <c r="B79" s="1033"/>
      <c r="C79" s="890"/>
      <c r="D79" s="47" t="s">
        <v>1992</v>
      </c>
      <c r="E79" s="4"/>
      <c r="F79" s="4"/>
      <c r="G79" s="4"/>
      <c r="H79" s="4"/>
      <c r="I79" s="4"/>
      <c r="J79" s="4"/>
      <c r="K79" s="4"/>
      <c r="L79" s="4"/>
    </row>
    <row r="80" spans="2:12">
      <c r="B80" s="1033"/>
      <c r="C80" s="890"/>
      <c r="D80" s="47" t="s">
        <v>1993</v>
      </c>
      <c r="E80" s="4"/>
      <c r="F80" s="4"/>
      <c r="G80" s="4"/>
      <c r="H80" s="4"/>
      <c r="I80" s="4"/>
      <c r="J80" s="4"/>
      <c r="K80" s="4"/>
      <c r="L80" s="4"/>
    </row>
    <row r="81" spans="2:12">
      <c r="B81" s="1033"/>
      <c r="C81" s="890"/>
      <c r="D81" s="47" t="s">
        <v>1994</v>
      </c>
      <c r="E81" s="4"/>
      <c r="F81" s="4"/>
      <c r="G81" s="4"/>
      <c r="H81" s="4"/>
      <c r="I81" s="4"/>
      <c r="J81" s="4"/>
      <c r="K81" s="4"/>
      <c r="L81" s="4"/>
    </row>
    <row r="82" spans="2:12">
      <c r="B82" s="1033"/>
      <c r="C82" s="890"/>
      <c r="D82" s="47" t="s">
        <v>1995</v>
      </c>
      <c r="E82" s="4"/>
      <c r="F82" s="4"/>
      <c r="G82" s="4"/>
      <c r="H82" s="4"/>
      <c r="I82" s="4"/>
      <c r="J82" s="4"/>
      <c r="K82" s="4"/>
      <c r="L82" s="4"/>
    </row>
    <row r="83" spans="2:12">
      <c r="B83" s="1033"/>
      <c r="C83" s="890"/>
      <c r="D83" s="836" t="s">
        <v>1797</v>
      </c>
      <c r="E83" s="4"/>
      <c r="F83" s="4"/>
      <c r="G83" s="4"/>
      <c r="H83" s="4"/>
      <c r="I83" s="4"/>
      <c r="J83" s="4"/>
      <c r="K83" s="4"/>
      <c r="L83" s="4"/>
    </row>
    <row r="84" spans="2:12" ht="36.75" thickBot="1">
      <c r="B84" s="1034"/>
      <c r="C84" s="857"/>
      <c r="D84" s="845" t="s">
        <v>1904</v>
      </c>
      <c r="E84" s="4"/>
      <c r="F84" s="4"/>
      <c r="G84" s="4"/>
      <c r="H84" s="4"/>
      <c r="I84" s="4"/>
      <c r="J84" s="4"/>
      <c r="K84" s="4"/>
      <c r="L84" s="4"/>
    </row>
    <row r="85" spans="2:12">
      <c r="B85" s="1032" t="s">
        <v>1543</v>
      </c>
      <c r="C85" s="854"/>
      <c r="D85" s="1032"/>
      <c r="E85" s="4"/>
      <c r="F85" s="4"/>
      <c r="G85" s="4"/>
      <c r="H85" s="4"/>
      <c r="I85" s="4"/>
      <c r="J85" s="4"/>
      <c r="K85" s="4"/>
      <c r="L85" s="4"/>
    </row>
    <row r="86" spans="2:12" ht="15.75" thickBot="1">
      <c r="B86" s="1034"/>
      <c r="C86" s="855"/>
      <c r="D86" s="1034"/>
      <c r="E86" s="4"/>
      <c r="F86" s="4"/>
      <c r="G86" s="4"/>
      <c r="H86" s="4"/>
      <c r="I86" s="4"/>
      <c r="J86" s="4"/>
      <c r="K86" s="4"/>
      <c r="L86" s="4"/>
    </row>
    <row r="87" spans="2:12" ht="132">
      <c r="B87" s="1032" t="s">
        <v>1544</v>
      </c>
      <c r="C87" s="890"/>
      <c r="D87" s="829" t="s">
        <v>1996</v>
      </c>
      <c r="E87" s="4"/>
      <c r="F87" s="4"/>
      <c r="G87" s="4"/>
      <c r="H87" s="4"/>
      <c r="I87" s="4"/>
      <c r="J87" s="4"/>
      <c r="K87" s="4"/>
      <c r="L87" s="4"/>
    </row>
    <row r="88" spans="2:12" ht="120.75" thickBot="1">
      <c r="B88" s="1034"/>
      <c r="C88" s="857"/>
      <c r="D88" s="845" t="s">
        <v>1997</v>
      </c>
      <c r="E88" s="4"/>
      <c r="F88" s="4"/>
      <c r="G88" s="4"/>
      <c r="H88" s="4"/>
      <c r="I88" s="4"/>
      <c r="J88" s="4"/>
      <c r="K88" s="4"/>
      <c r="L88" s="4"/>
    </row>
    <row r="89" spans="2:12" ht="24">
      <c r="B89" s="1032" t="s">
        <v>1561</v>
      </c>
      <c r="C89" s="890"/>
      <c r="D89" s="836" t="s">
        <v>746</v>
      </c>
      <c r="E89" s="4"/>
      <c r="F89" s="4"/>
      <c r="G89" s="4"/>
      <c r="H89" s="4"/>
      <c r="I89" s="4"/>
      <c r="J89" s="4"/>
      <c r="K89" s="4"/>
      <c r="L89" s="4"/>
    </row>
    <row r="90" spans="2:12">
      <c r="B90" s="1033"/>
      <c r="C90" s="890"/>
      <c r="D90" s="826"/>
      <c r="E90" s="4"/>
      <c r="F90" s="4"/>
      <c r="G90" s="4"/>
      <c r="H90" s="4"/>
      <c r="I90" s="4"/>
      <c r="J90" s="4"/>
      <c r="K90" s="4"/>
      <c r="L90" s="4"/>
    </row>
    <row r="91" spans="2:12">
      <c r="B91" s="1033"/>
      <c r="C91" s="890"/>
      <c r="D91" s="829" t="s">
        <v>1562</v>
      </c>
      <c r="E91" s="4"/>
      <c r="F91" s="4"/>
      <c r="G91" s="4"/>
      <c r="H91" s="4"/>
      <c r="I91" s="4"/>
      <c r="J91" s="4"/>
      <c r="K91" s="4"/>
      <c r="L91" s="4"/>
    </row>
    <row r="92" spans="2:12" ht="37.5">
      <c r="B92" s="1033"/>
      <c r="C92" s="890"/>
      <c r="D92" s="829" t="s">
        <v>1998</v>
      </c>
      <c r="E92" s="4"/>
      <c r="F92" s="4"/>
      <c r="G92" s="4"/>
      <c r="H92" s="4"/>
      <c r="I92" s="4"/>
      <c r="J92" s="4"/>
      <c r="K92" s="4"/>
      <c r="L92" s="4"/>
    </row>
    <row r="93" spans="2:12" ht="37.5">
      <c r="B93" s="1033"/>
      <c r="C93" s="890"/>
      <c r="D93" s="829" t="s">
        <v>1999</v>
      </c>
      <c r="E93" s="4"/>
      <c r="F93" s="4"/>
      <c r="G93" s="4"/>
      <c r="H93" s="4"/>
      <c r="I93" s="4"/>
      <c r="J93" s="4"/>
      <c r="K93" s="4"/>
      <c r="L93" s="4"/>
    </row>
    <row r="94" spans="2:12" ht="38.25" thickBot="1">
      <c r="B94" s="1034"/>
      <c r="C94" s="857"/>
      <c r="D94" s="845" t="s">
        <v>2000</v>
      </c>
      <c r="E94" s="4"/>
      <c r="F94" s="4"/>
      <c r="G94" s="4"/>
      <c r="H94" s="4"/>
      <c r="I94" s="4"/>
      <c r="J94" s="4"/>
      <c r="K94" s="4"/>
      <c r="L94" s="4"/>
    </row>
    <row r="95" spans="2:12">
      <c r="B95" s="4"/>
      <c r="D95" s="4"/>
      <c r="E95" s="4"/>
      <c r="F95" s="4"/>
      <c r="G95" s="4"/>
      <c r="H95" s="4"/>
      <c r="I95" s="4"/>
      <c r="J95" s="4"/>
      <c r="K95" s="4"/>
      <c r="L95" s="4"/>
    </row>
    <row r="96" spans="2:12">
      <c r="B96" s="4"/>
      <c r="D96" s="4"/>
      <c r="E96" s="4"/>
      <c r="F96" s="4"/>
      <c r="G96" s="4"/>
      <c r="H96" s="4"/>
      <c r="I96" s="4"/>
      <c r="J96" s="4"/>
      <c r="K96" s="4"/>
      <c r="L96" s="4"/>
    </row>
    <row r="97" spans="2:12">
      <c r="B97" s="4"/>
      <c r="D97" s="4"/>
      <c r="E97" s="4"/>
      <c r="F97" s="4"/>
      <c r="G97" s="4"/>
      <c r="H97" s="4"/>
      <c r="I97" s="4"/>
      <c r="J97" s="4"/>
      <c r="K97" s="4"/>
      <c r="L97" s="4"/>
    </row>
    <row r="98" spans="2:12">
      <c r="B98" s="4"/>
      <c r="D98" s="4"/>
      <c r="E98" s="4"/>
      <c r="F98" s="4"/>
      <c r="G98" s="4"/>
      <c r="H98" s="4"/>
      <c r="I98" s="4"/>
      <c r="J98" s="4"/>
      <c r="K98" s="4"/>
      <c r="L98" s="4"/>
    </row>
    <row r="99" spans="2:12">
      <c r="B99" s="4"/>
      <c r="D99" s="4"/>
      <c r="E99" s="4"/>
      <c r="F99" s="4"/>
      <c r="G99" s="4"/>
      <c r="H99" s="4"/>
      <c r="I99" s="4"/>
      <c r="J99" s="4"/>
      <c r="K99" s="4"/>
      <c r="L99" s="4"/>
    </row>
    <row r="100" spans="2:12">
      <c r="B100" s="4"/>
      <c r="D100" s="4"/>
      <c r="E100" s="4"/>
      <c r="F100" s="4"/>
      <c r="G100" s="4"/>
      <c r="H100" s="4"/>
      <c r="I100" s="4"/>
      <c r="J100" s="4"/>
      <c r="K100" s="4"/>
      <c r="L100" s="4"/>
    </row>
    <row r="101" spans="2:12">
      <c r="B101" s="4"/>
      <c r="D101" s="4"/>
      <c r="E101" s="4"/>
      <c r="F101" s="4"/>
      <c r="G101" s="4"/>
      <c r="H101" s="4"/>
      <c r="I101" s="4"/>
      <c r="J101" s="4"/>
      <c r="K101" s="4"/>
      <c r="L101" s="4"/>
    </row>
    <row r="102" spans="2:12">
      <c r="B102" s="4"/>
      <c r="D102" s="4"/>
      <c r="E102" s="4"/>
      <c r="F102" s="4"/>
      <c r="G102" s="4"/>
      <c r="H102" s="4"/>
      <c r="I102" s="4"/>
      <c r="J102" s="4"/>
      <c r="K102" s="4"/>
      <c r="L102" s="4"/>
    </row>
    <row r="103" spans="2:12">
      <c r="B103" s="4"/>
      <c r="D103" s="4"/>
      <c r="E103" s="4"/>
      <c r="F103" s="4"/>
      <c r="G103" s="4"/>
      <c r="H103" s="4"/>
      <c r="I103" s="4"/>
      <c r="J103" s="4"/>
      <c r="K103" s="4"/>
      <c r="L103" s="4"/>
    </row>
    <row r="104" spans="2:12">
      <c r="B104" s="4"/>
      <c r="D104" s="4"/>
      <c r="E104" s="4"/>
      <c r="F104" s="4"/>
      <c r="G104" s="4"/>
      <c r="H104" s="4"/>
      <c r="I104" s="4"/>
      <c r="J104" s="4"/>
      <c r="K104" s="4"/>
      <c r="L104" s="4"/>
    </row>
    <row r="105" spans="2:12">
      <c r="B105" s="4"/>
      <c r="D105" s="4"/>
      <c r="E105" s="4"/>
      <c r="F105" s="4"/>
      <c r="G105" s="4"/>
      <c r="H105" s="4"/>
      <c r="I105" s="4"/>
      <c r="J105" s="4"/>
      <c r="K105" s="4"/>
      <c r="L105" s="4"/>
    </row>
    <row r="106" spans="2:12">
      <c r="B106" s="4"/>
      <c r="D106" s="4"/>
      <c r="E106" s="4"/>
      <c r="F106" s="4"/>
      <c r="G106" s="4"/>
      <c r="H106" s="4"/>
      <c r="I106" s="4"/>
      <c r="J106" s="4"/>
      <c r="K106" s="4"/>
      <c r="L106" s="4"/>
    </row>
    <row r="107" spans="2:12">
      <c r="B107" s="4"/>
      <c r="D107" s="4"/>
      <c r="E107" s="4"/>
      <c r="F107" s="4"/>
      <c r="G107" s="4"/>
      <c r="H107" s="4"/>
      <c r="I107" s="4"/>
      <c r="J107" s="4"/>
      <c r="K107" s="4"/>
      <c r="L107" s="4"/>
    </row>
    <row r="108" spans="2:12">
      <c r="B108" s="4"/>
      <c r="D108" s="4"/>
      <c r="E108" s="4"/>
      <c r="F108" s="4"/>
      <c r="G108" s="4"/>
      <c r="H108" s="4"/>
      <c r="I108" s="4"/>
      <c r="J108" s="4"/>
      <c r="K108" s="4"/>
      <c r="L108" s="4"/>
    </row>
    <row r="109" spans="2:12">
      <c r="B109" s="4"/>
      <c r="D109" s="4"/>
      <c r="E109" s="4"/>
      <c r="F109" s="4"/>
      <c r="G109" s="4"/>
      <c r="H109" s="4"/>
      <c r="I109" s="4"/>
      <c r="J109" s="4"/>
      <c r="K109" s="4"/>
      <c r="L109" s="4"/>
    </row>
    <row r="110" spans="2:12">
      <c r="B110" s="4"/>
      <c r="D110" s="4"/>
      <c r="E110" s="4"/>
      <c r="F110" s="4"/>
      <c r="G110" s="4"/>
      <c r="H110" s="4"/>
      <c r="I110" s="4"/>
      <c r="J110" s="4"/>
      <c r="K110" s="4"/>
      <c r="L110" s="4"/>
    </row>
    <row r="111" spans="2:12">
      <c r="B111" s="4"/>
      <c r="D111" s="4"/>
      <c r="E111" s="4"/>
      <c r="F111" s="4"/>
      <c r="G111" s="4"/>
      <c r="H111" s="4"/>
      <c r="I111" s="4"/>
      <c r="J111" s="4"/>
      <c r="K111" s="4"/>
      <c r="L111" s="4"/>
    </row>
    <row r="112" spans="2:12">
      <c r="B112" s="4"/>
      <c r="D112" s="4"/>
      <c r="E112" s="4"/>
      <c r="F112" s="4"/>
      <c r="G112" s="4"/>
      <c r="H112" s="4"/>
      <c r="I112" s="4"/>
      <c r="J112" s="4"/>
      <c r="K112" s="4"/>
      <c r="L112" s="4"/>
    </row>
    <row r="113" spans="2:12">
      <c r="B113" s="4"/>
      <c r="D113" s="4"/>
      <c r="E113" s="4"/>
      <c r="F113" s="4"/>
      <c r="G113" s="4"/>
      <c r="H113" s="4"/>
      <c r="I113" s="4"/>
      <c r="J113" s="4"/>
      <c r="K113" s="4"/>
      <c r="L113" s="4"/>
    </row>
    <row r="114" spans="2:12">
      <c r="B114" s="4"/>
      <c r="D114" s="4"/>
      <c r="E114" s="4"/>
      <c r="F114" s="4"/>
      <c r="G114" s="4"/>
      <c r="H114" s="4"/>
      <c r="I114" s="4"/>
      <c r="J114" s="4"/>
      <c r="K114" s="4"/>
      <c r="L114" s="4"/>
    </row>
    <row r="115" spans="2:12">
      <c r="B115" s="4"/>
      <c r="D115" s="4"/>
      <c r="E115" s="4"/>
      <c r="F115" s="4"/>
      <c r="G115" s="4"/>
      <c r="H115" s="4"/>
      <c r="I115" s="4"/>
      <c r="J115" s="4"/>
      <c r="K115" s="4"/>
      <c r="L115" s="4"/>
    </row>
    <row r="116" spans="2:12">
      <c r="B116" s="4"/>
      <c r="D116" s="4"/>
      <c r="E116" s="4"/>
      <c r="F116" s="4"/>
      <c r="G116" s="4"/>
      <c r="H116" s="4"/>
      <c r="I116" s="4"/>
      <c r="J116" s="4"/>
      <c r="K116" s="4"/>
      <c r="L116" s="4"/>
    </row>
    <row r="117" spans="2:12">
      <c r="B117" s="4"/>
      <c r="D117" s="4"/>
      <c r="E117" s="4"/>
      <c r="F117" s="4"/>
      <c r="G117" s="4"/>
      <c r="H117" s="4"/>
      <c r="I117" s="4"/>
      <c r="J117" s="4"/>
      <c r="K117" s="4"/>
      <c r="L117" s="4"/>
    </row>
    <row r="118" spans="2:12">
      <c r="B118" s="4"/>
      <c r="D118" s="4"/>
      <c r="E118" s="4"/>
      <c r="F118" s="4"/>
      <c r="G118" s="4"/>
      <c r="H118" s="4"/>
      <c r="I118" s="4"/>
      <c r="J118" s="4"/>
      <c r="K118" s="4"/>
      <c r="L118" s="4"/>
    </row>
    <row r="119" spans="2:12">
      <c r="B119" s="4"/>
      <c r="D119" s="4"/>
      <c r="E119" s="4"/>
      <c r="F119" s="4"/>
      <c r="G119" s="4"/>
      <c r="H119" s="4"/>
      <c r="I119" s="4"/>
      <c r="J119" s="4"/>
      <c r="K119" s="4"/>
      <c r="L119" s="4"/>
    </row>
    <row r="120" spans="2:12">
      <c r="B120" s="4"/>
      <c r="D120" s="4"/>
      <c r="E120" s="4"/>
      <c r="F120" s="4"/>
      <c r="G120" s="4"/>
      <c r="H120" s="4"/>
      <c r="I120" s="4"/>
      <c r="J120" s="4"/>
      <c r="K120" s="4"/>
      <c r="L120" s="4"/>
    </row>
    <row r="121" spans="2:12">
      <c r="B121" s="4"/>
      <c r="D121" s="4"/>
      <c r="E121" s="4"/>
      <c r="F121" s="4"/>
      <c r="G121" s="4"/>
      <c r="H121" s="4"/>
      <c r="I121" s="4"/>
      <c r="J121" s="4"/>
      <c r="K121" s="4"/>
      <c r="L121" s="4"/>
    </row>
    <row r="122" spans="2:12">
      <c r="B122" s="4"/>
      <c r="D122" s="4"/>
      <c r="E122" s="4"/>
      <c r="F122" s="4"/>
      <c r="G122" s="4"/>
      <c r="H122" s="4"/>
      <c r="I122" s="4"/>
      <c r="J122" s="4"/>
      <c r="K122" s="4"/>
      <c r="L122" s="4"/>
    </row>
    <row r="123" spans="2:12">
      <c r="B123" s="4"/>
      <c r="D123" s="4"/>
      <c r="E123" s="4"/>
      <c r="F123" s="4"/>
      <c r="G123" s="4"/>
      <c r="H123" s="4"/>
      <c r="I123" s="4"/>
      <c r="J123" s="4"/>
      <c r="K123" s="4"/>
      <c r="L123" s="4"/>
    </row>
    <row r="124" spans="2:12">
      <c r="B124" s="4"/>
      <c r="D124" s="4"/>
      <c r="E124" s="4"/>
      <c r="F124" s="4"/>
      <c r="G124" s="4"/>
      <c r="H124" s="4"/>
      <c r="I124" s="4"/>
      <c r="J124" s="4"/>
      <c r="K124" s="4"/>
      <c r="L124" s="4"/>
    </row>
    <row r="125" spans="2:12">
      <c r="B125" s="4"/>
      <c r="D125" s="4"/>
      <c r="E125" s="4"/>
      <c r="F125" s="4"/>
      <c r="G125" s="4"/>
      <c r="H125" s="4"/>
      <c r="I125" s="4"/>
      <c r="J125" s="4"/>
      <c r="K125" s="4"/>
      <c r="L125" s="4"/>
    </row>
    <row r="126" spans="2:12">
      <c r="B126" s="4"/>
      <c r="D126" s="4"/>
      <c r="E126" s="4"/>
      <c r="F126" s="4"/>
      <c r="G126" s="4"/>
      <c r="H126" s="4"/>
      <c r="I126" s="4"/>
      <c r="J126" s="4"/>
      <c r="K126" s="4"/>
      <c r="L126" s="4"/>
    </row>
    <row r="127" spans="2:12">
      <c r="B127" s="4"/>
      <c r="D127" s="4"/>
      <c r="E127" s="4"/>
      <c r="F127" s="4"/>
      <c r="G127" s="4"/>
      <c r="H127" s="4"/>
      <c r="I127" s="4"/>
      <c r="J127" s="4"/>
      <c r="K127" s="4"/>
      <c r="L127" s="4"/>
    </row>
    <row r="128" spans="2:12">
      <c r="B128" s="4"/>
      <c r="D128" s="4"/>
      <c r="E128" s="4"/>
      <c r="F128" s="4"/>
      <c r="G128" s="4"/>
      <c r="H128" s="4"/>
      <c r="I128" s="4"/>
      <c r="J128" s="4"/>
      <c r="K128" s="4"/>
      <c r="L128" s="4"/>
    </row>
    <row r="129" spans="2:12">
      <c r="B129" s="4"/>
      <c r="D129" s="4"/>
      <c r="E129" s="4"/>
      <c r="F129" s="4"/>
      <c r="G129" s="4"/>
      <c r="H129" s="4"/>
      <c r="I129" s="4"/>
      <c r="J129" s="4"/>
      <c r="K129" s="4"/>
      <c r="L129" s="4"/>
    </row>
    <row r="130" spans="2:12">
      <c r="B130" s="4"/>
      <c r="D130" s="4"/>
      <c r="E130" s="4"/>
      <c r="F130" s="4"/>
      <c r="G130" s="4"/>
      <c r="H130" s="4"/>
      <c r="I130" s="4"/>
      <c r="J130" s="4"/>
      <c r="K130" s="4"/>
      <c r="L130" s="4"/>
    </row>
    <row r="131" spans="2:12">
      <c r="B131" s="4"/>
      <c r="D131" s="4"/>
      <c r="E131" s="4"/>
      <c r="F131" s="4"/>
      <c r="G131" s="4"/>
      <c r="H131" s="4"/>
      <c r="I131" s="4"/>
      <c r="J131" s="4"/>
      <c r="K131" s="4"/>
      <c r="L131" s="4"/>
    </row>
    <row r="132" spans="2:12">
      <c r="B132" s="4"/>
      <c r="D132" s="4"/>
      <c r="E132" s="4"/>
      <c r="F132" s="4"/>
      <c r="G132" s="4"/>
      <c r="H132" s="4"/>
      <c r="I132" s="4"/>
      <c r="J132" s="4"/>
      <c r="K132" s="4"/>
      <c r="L132" s="4"/>
    </row>
    <row r="133" spans="2:12">
      <c r="B133" s="4"/>
      <c r="D133" s="4"/>
      <c r="E133" s="4"/>
      <c r="F133" s="4"/>
      <c r="G133" s="4"/>
      <c r="H133" s="4"/>
      <c r="I133" s="4"/>
      <c r="J133" s="4"/>
      <c r="K133" s="4"/>
      <c r="L133" s="4"/>
    </row>
    <row r="134" spans="2:12">
      <c r="B134" s="4"/>
      <c r="D134" s="4"/>
      <c r="E134" s="4"/>
      <c r="F134" s="4"/>
      <c r="G134" s="4"/>
      <c r="H134" s="4"/>
      <c r="I134" s="4"/>
      <c r="J134" s="4"/>
      <c r="K134" s="4"/>
      <c r="L134" s="4"/>
    </row>
    <row r="135" spans="2:12">
      <c r="B135" s="4"/>
      <c r="D135" s="4"/>
      <c r="E135" s="4"/>
      <c r="F135" s="4"/>
      <c r="G135" s="4"/>
      <c r="H135" s="4"/>
      <c r="I135" s="4"/>
      <c r="J135" s="4"/>
      <c r="K135" s="4"/>
      <c r="L135" s="4"/>
    </row>
    <row r="136" spans="2:12">
      <c r="B136" s="4"/>
      <c r="D136" s="4"/>
      <c r="E136" s="4"/>
      <c r="F136" s="4"/>
      <c r="G136" s="4"/>
      <c r="H136" s="4"/>
      <c r="I136" s="4"/>
      <c r="J136" s="4"/>
      <c r="K136" s="4"/>
      <c r="L136" s="4"/>
    </row>
    <row r="137" spans="2:12">
      <c r="B137" s="4"/>
      <c r="D137" s="4"/>
      <c r="E137" s="4"/>
      <c r="F137" s="4"/>
      <c r="G137" s="4"/>
      <c r="H137" s="4"/>
      <c r="I137" s="4"/>
      <c r="J137" s="4"/>
      <c r="K137" s="4"/>
      <c r="L137" s="4"/>
    </row>
    <row r="138" spans="2:12">
      <c r="B138" s="4"/>
      <c r="D138" s="4"/>
      <c r="E138" s="4"/>
      <c r="F138" s="4"/>
      <c r="G138" s="4"/>
      <c r="H138" s="4"/>
      <c r="I138" s="4"/>
      <c r="J138" s="4"/>
      <c r="K138" s="4"/>
      <c r="L138" s="4"/>
    </row>
    <row r="139" spans="2:12">
      <c r="B139" s="4"/>
      <c r="D139" s="4"/>
      <c r="E139" s="4"/>
      <c r="F139" s="4"/>
      <c r="G139" s="4"/>
      <c r="H139" s="4"/>
      <c r="I139" s="4"/>
      <c r="J139" s="4"/>
      <c r="K139" s="4"/>
      <c r="L139" s="4"/>
    </row>
    <row r="140" spans="2:12">
      <c r="B140" s="4"/>
      <c r="D140" s="4"/>
      <c r="E140" s="4"/>
      <c r="F140" s="4"/>
      <c r="G140" s="4"/>
      <c r="H140" s="4"/>
      <c r="I140" s="4"/>
      <c r="J140" s="4"/>
      <c r="K140" s="4"/>
      <c r="L140" s="4"/>
    </row>
    <row r="141" spans="2:12">
      <c r="B141" s="4"/>
      <c r="D141" s="4"/>
      <c r="E141" s="4"/>
      <c r="F141" s="4"/>
      <c r="G141" s="4"/>
      <c r="H141" s="4"/>
      <c r="I141" s="4"/>
      <c r="J141" s="4"/>
      <c r="K141" s="4"/>
      <c r="L141" s="4"/>
    </row>
    <row r="142" spans="2:12">
      <c r="B142" s="4"/>
      <c r="D142" s="4"/>
      <c r="E142" s="4"/>
      <c r="F142" s="4"/>
      <c r="G142" s="4"/>
      <c r="H142" s="4"/>
      <c r="I142" s="4"/>
      <c r="J142" s="4"/>
      <c r="K142" s="4"/>
      <c r="L142" s="4"/>
    </row>
    <row r="143" spans="2:12">
      <c r="B143" s="4"/>
      <c r="D143" s="4"/>
      <c r="E143" s="4"/>
      <c r="F143" s="4"/>
      <c r="G143" s="4"/>
      <c r="H143" s="4"/>
      <c r="I143" s="4"/>
      <c r="J143" s="4"/>
      <c r="K143" s="4"/>
      <c r="L143" s="4"/>
    </row>
    <row r="144" spans="2:12">
      <c r="B144" s="4"/>
      <c r="D144" s="4"/>
      <c r="E144" s="4"/>
      <c r="F144" s="4"/>
      <c r="G144" s="4"/>
      <c r="H144" s="4"/>
      <c r="I144" s="4"/>
      <c r="J144" s="4"/>
      <c r="K144" s="4"/>
      <c r="L144" s="4"/>
    </row>
    <row r="145" spans="2:12">
      <c r="B145" s="4"/>
      <c r="D145" s="4"/>
      <c r="E145" s="4"/>
      <c r="F145" s="4"/>
      <c r="G145" s="4"/>
      <c r="H145" s="4"/>
      <c r="I145" s="4"/>
      <c r="J145" s="4"/>
      <c r="K145" s="4"/>
      <c r="L145" s="4"/>
    </row>
    <row r="146" spans="2:12">
      <c r="B146" s="4"/>
      <c r="D146" s="4"/>
      <c r="E146" s="4"/>
      <c r="F146" s="4"/>
      <c r="G146" s="4"/>
      <c r="H146" s="4"/>
      <c r="I146" s="4"/>
      <c r="J146" s="4"/>
      <c r="K146" s="4"/>
      <c r="L146" s="4"/>
    </row>
    <row r="147" spans="2:12">
      <c r="B147" s="4"/>
      <c r="D147" s="4"/>
      <c r="E147" s="4"/>
      <c r="F147" s="4"/>
      <c r="G147" s="4"/>
      <c r="H147" s="4"/>
      <c r="I147" s="4"/>
      <c r="J147" s="4"/>
      <c r="K147" s="4"/>
      <c r="L147" s="4"/>
    </row>
    <row r="148" spans="2:12">
      <c r="B148" s="4"/>
      <c r="D148" s="4"/>
      <c r="E148" s="4"/>
      <c r="F148" s="4"/>
      <c r="G148" s="4"/>
      <c r="H148" s="4"/>
      <c r="I148" s="4"/>
      <c r="J148" s="4"/>
      <c r="K148" s="4"/>
      <c r="L148" s="4"/>
    </row>
    <row r="149" spans="2:12">
      <c r="B149" s="4"/>
      <c r="D149" s="4"/>
      <c r="E149" s="4"/>
      <c r="F149" s="4"/>
      <c r="G149" s="4"/>
      <c r="H149" s="4"/>
      <c r="I149" s="4"/>
      <c r="J149" s="4"/>
      <c r="K149" s="4"/>
      <c r="L149" s="4"/>
    </row>
    <row r="150" spans="2:12">
      <c r="B150" s="4"/>
      <c r="D150" s="4"/>
      <c r="E150" s="4"/>
      <c r="F150" s="4"/>
      <c r="G150" s="4"/>
      <c r="H150" s="4"/>
      <c r="I150" s="4"/>
      <c r="J150" s="4"/>
      <c r="K150" s="4"/>
      <c r="L150" s="4"/>
    </row>
    <row r="151" spans="2:12">
      <c r="B151" s="4"/>
      <c r="D151" s="4"/>
      <c r="E151" s="4"/>
      <c r="F151" s="4"/>
      <c r="G151" s="4"/>
      <c r="H151" s="4"/>
      <c r="I151" s="4"/>
      <c r="J151" s="4"/>
      <c r="K151" s="4"/>
      <c r="L151" s="4"/>
    </row>
    <row r="152" spans="2:12">
      <c r="B152" s="4"/>
      <c r="D152" s="4"/>
      <c r="E152" s="4"/>
      <c r="F152" s="4"/>
      <c r="G152" s="4"/>
      <c r="H152" s="4"/>
      <c r="I152" s="4"/>
      <c r="J152" s="4"/>
      <c r="K152" s="4"/>
      <c r="L152" s="4"/>
    </row>
    <row r="153" spans="2:12">
      <c r="B153" s="4"/>
      <c r="D153" s="4"/>
      <c r="E153" s="4"/>
      <c r="F153" s="4"/>
      <c r="G153" s="4"/>
      <c r="H153" s="4"/>
      <c r="I153" s="4"/>
      <c r="J153" s="4"/>
      <c r="K153" s="4"/>
      <c r="L153" s="4"/>
    </row>
    <row r="154" spans="2:12">
      <c r="B154" s="4"/>
      <c r="D154" s="4"/>
      <c r="E154" s="4"/>
      <c r="F154" s="4"/>
      <c r="G154" s="4"/>
      <c r="H154" s="4"/>
      <c r="I154" s="4"/>
      <c r="J154" s="4"/>
      <c r="K154" s="4"/>
      <c r="L154" s="4"/>
    </row>
    <row r="155" spans="2:12">
      <c r="B155" s="4"/>
      <c r="D155" s="4"/>
      <c r="E155" s="4"/>
      <c r="F155" s="4"/>
      <c r="G155" s="4"/>
      <c r="H155" s="4"/>
      <c r="I155" s="4"/>
      <c r="J155" s="4"/>
      <c r="K155" s="4"/>
      <c r="L155" s="4"/>
    </row>
    <row r="156" spans="2:12">
      <c r="B156" s="4"/>
      <c r="D156" s="4"/>
      <c r="E156" s="4"/>
      <c r="F156" s="4"/>
      <c r="G156" s="4"/>
      <c r="H156" s="4"/>
      <c r="I156" s="4"/>
      <c r="J156" s="4"/>
      <c r="K156" s="4"/>
      <c r="L156" s="4"/>
    </row>
    <row r="157" spans="2:12">
      <c r="B157" s="4"/>
      <c r="D157" s="4"/>
      <c r="E157" s="4"/>
      <c r="F157" s="4"/>
      <c r="G157" s="4"/>
      <c r="H157" s="4"/>
      <c r="I157" s="4"/>
      <c r="J157" s="4"/>
      <c r="K157" s="4"/>
      <c r="L157" s="4"/>
    </row>
    <row r="158" spans="2:12">
      <c r="B158" s="4"/>
      <c r="D158" s="4"/>
      <c r="E158" s="4"/>
      <c r="F158" s="4"/>
      <c r="G158" s="4"/>
      <c r="H158" s="4"/>
      <c r="I158" s="4"/>
      <c r="J158" s="4"/>
      <c r="K158" s="4"/>
      <c r="L158" s="4"/>
    </row>
    <row r="159" spans="2:12">
      <c r="B159" s="4"/>
      <c r="D159" s="4"/>
      <c r="E159" s="4"/>
      <c r="F159" s="4"/>
      <c r="G159" s="4"/>
      <c r="H159" s="4"/>
      <c r="I159" s="4"/>
      <c r="J159" s="4"/>
      <c r="K159" s="4"/>
      <c r="L159" s="4"/>
    </row>
    <row r="160" spans="2:12">
      <c r="B160" s="4"/>
      <c r="D160" s="4"/>
      <c r="E160" s="4"/>
      <c r="F160" s="4"/>
      <c r="G160" s="4"/>
      <c r="H160" s="4"/>
      <c r="I160" s="4"/>
      <c r="J160" s="4"/>
      <c r="K160" s="4"/>
      <c r="L160" s="4"/>
    </row>
    <row r="161" spans="2:12">
      <c r="B161" s="4"/>
      <c r="D161" s="4"/>
      <c r="E161" s="4"/>
      <c r="F161" s="4"/>
      <c r="G161" s="4"/>
      <c r="H161" s="4"/>
      <c r="I161" s="4"/>
      <c r="J161" s="4"/>
      <c r="K161" s="4"/>
      <c r="L161" s="4"/>
    </row>
    <row r="162" spans="2:12">
      <c r="B162" s="4"/>
      <c r="D162" s="4"/>
      <c r="E162" s="4"/>
      <c r="F162" s="4"/>
      <c r="G162" s="4"/>
      <c r="H162" s="4"/>
      <c r="I162" s="4"/>
      <c r="J162" s="4"/>
      <c r="K162" s="4"/>
      <c r="L162" s="4"/>
    </row>
    <row r="163" spans="2:12">
      <c r="B163" s="4"/>
      <c r="D163" s="4"/>
      <c r="E163" s="4"/>
      <c r="F163" s="4"/>
      <c r="G163" s="4"/>
      <c r="H163" s="4"/>
      <c r="I163" s="4"/>
      <c r="J163" s="4"/>
      <c r="K163" s="4"/>
      <c r="L163" s="4"/>
    </row>
    <row r="164" spans="2:12">
      <c r="B164" s="4"/>
      <c r="D164" s="4"/>
      <c r="E164" s="4"/>
      <c r="F164" s="4"/>
      <c r="G164" s="4"/>
      <c r="H164" s="4"/>
      <c r="I164" s="4"/>
      <c r="J164" s="4"/>
      <c r="K164" s="4"/>
      <c r="L164" s="4"/>
    </row>
    <row r="165" spans="2:12">
      <c r="B165" s="4"/>
      <c r="D165" s="4"/>
      <c r="E165" s="4"/>
      <c r="F165" s="4"/>
      <c r="G165" s="4"/>
      <c r="H165" s="4"/>
      <c r="I165" s="4"/>
      <c r="J165" s="4"/>
      <c r="K165" s="4"/>
      <c r="L165" s="4"/>
    </row>
    <row r="166" spans="2:12">
      <c r="B166" s="4"/>
      <c r="D166" s="4"/>
      <c r="E166" s="4"/>
      <c r="F166" s="4"/>
      <c r="G166" s="4"/>
      <c r="H166" s="4"/>
      <c r="I166" s="4"/>
      <c r="J166" s="4"/>
      <c r="K166" s="4"/>
      <c r="L166" s="4"/>
    </row>
    <row r="167" spans="2:12">
      <c r="B167" s="4"/>
      <c r="D167" s="4"/>
      <c r="E167" s="4"/>
      <c r="F167" s="4"/>
      <c r="G167" s="4"/>
      <c r="H167" s="4"/>
      <c r="I167" s="4"/>
      <c r="J167" s="4"/>
      <c r="K167" s="4"/>
      <c r="L167" s="4"/>
    </row>
    <row r="168" spans="2:12">
      <c r="B168" s="4"/>
      <c r="D168" s="4"/>
      <c r="E168" s="4"/>
      <c r="F168" s="4"/>
      <c r="G168" s="4"/>
      <c r="H168" s="4"/>
      <c r="I168" s="4"/>
      <c r="J168" s="4"/>
      <c r="K168" s="4"/>
      <c r="L168" s="4"/>
    </row>
    <row r="169" spans="2:12">
      <c r="B169" s="4"/>
      <c r="D169" s="4"/>
      <c r="E169" s="4"/>
      <c r="F169" s="4"/>
      <c r="G169" s="4"/>
      <c r="H169" s="4"/>
      <c r="I169" s="4"/>
      <c r="J169" s="4"/>
      <c r="K169" s="4"/>
      <c r="L169" s="4"/>
    </row>
    <row r="170" spans="2:12">
      <c r="B170" s="4"/>
      <c r="D170" s="4"/>
      <c r="E170" s="4"/>
      <c r="F170" s="4"/>
      <c r="G170" s="4"/>
      <c r="H170" s="4"/>
      <c r="I170" s="4"/>
      <c r="J170" s="4"/>
      <c r="K170" s="4"/>
      <c r="L170" s="4"/>
    </row>
    <row r="171" spans="2:12">
      <c r="B171" s="4"/>
      <c r="D171" s="4"/>
      <c r="E171" s="4"/>
      <c r="F171" s="4"/>
      <c r="G171" s="4"/>
      <c r="H171" s="4"/>
      <c r="I171" s="4"/>
      <c r="J171" s="4"/>
      <c r="K171" s="4"/>
      <c r="L171" s="4"/>
    </row>
    <row r="172" spans="2:12">
      <c r="B172" s="4"/>
      <c r="D172" s="4"/>
      <c r="E172" s="4"/>
      <c r="F172" s="4"/>
      <c r="G172" s="4"/>
      <c r="H172" s="4"/>
      <c r="I172" s="4"/>
      <c r="J172" s="4"/>
      <c r="K172" s="4"/>
      <c r="L172" s="4"/>
    </row>
    <row r="173" spans="2:12">
      <c r="B173" s="4"/>
      <c r="D173" s="4"/>
      <c r="E173" s="4"/>
      <c r="F173" s="4"/>
      <c r="G173" s="4"/>
      <c r="H173" s="4"/>
      <c r="I173" s="4"/>
      <c r="J173" s="4"/>
      <c r="K173" s="4"/>
      <c r="L173" s="4"/>
    </row>
    <row r="174" spans="2:12">
      <c r="B174" s="4"/>
      <c r="D174" s="4"/>
      <c r="E174" s="4"/>
      <c r="F174" s="4"/>
      <c r="G174" s="4"/>
      <c r="H174" s="4"/>
      <c r="I174" s="4"/>
      <c r="J174" s="4"/>
      <c r="K174" s="4"/>
      <c r="L174" s="4"/>
    </row>
    <row r="175" spans="2:12">
      <c r="B175" s="4"/>
      <c r="D175" s="4"/>
      <c r="E175" s="4"/>
      <c r="F175" s="4"/>
      <c r="G175" s="4"/>
      <c r="H175" s="4"/>
      <c r="I175" s="4"/>
      <c r="J175" s="4"/>
      <c r="K175" s="4"/>
      <c r="L175" s="4"/>
    </row>
    <row r="176" spans="2:12">
      <c r="B176" s="4"/>
      <c r="D176" s="4"/>
      <c r="E176" s="4"/>
      <c r="F176" s="4"/>
      <c r="G176" s="4"/>
      <c r="H176" s="4"/>
      <c r="I176" s="4"/>
      <c r="J176" s="4"/>
      <c r="K176" s="4"/>
      <c r="L176" s="4"/>
    </row>
    <row r="177" spans="2:12">
      <c r="B177" s="4"/>
      <c r="D177" s="4"/>
      <c r="E177" s="4"/>
      <c r="F177" s="4"/>
      <c r="G177" s="4"/>
      <c r="H177" s="4"/>
      <c r="I177" s="4"/>
      <c r="J177" s="4"/>
      <c r="K177" s="4"/>
      <c r="L177" s="4"/>
    </row>
    <row r="178" spans="2:12">
      <c r="B178" s="4"/>
      <c r="D178" s="4"/>
      <c r="E178" s="4"/>
      <c r="F178" s="4"/>
      <c r="G178" s="4"/>
      <c r="H178" s="4"/>
      <c r="I178" s="4"/>
      <c r="J178" s="4"/>
      <c r="K178" s="4"/>
      <c r="L178" s="4"/>
    </row>
    <row r="179" spans="2:12">
      <c r="B179" s="4"/>
      <c r="D179" s="4"/>
      <c r="E179" s="4"/>
      <c r="F179" s="4"/>
      <c r="G179" s="4"/>
      <c r="H179" s="4"/>
      <c r="I179" s="4"/>
      <c r="J179" s="4"/>
      <c r="K179" s="4"/>
      <c r="L179" s="4"/>
    </row>
    <row r="180" spans="2:12">
      <c r="B180" s="4"/>
      <c r="D180" s="4"/>
      <c r="E180" s="4"/>
      <c r="F180" s="4"/>
      <c r="G180" s="4"/>
      <c r="H180" s="4"/>
      <c r="I180" s="4"/>
      <c r="J180" s="4"/>
      <c r="K180" s="4"/>
      <c r="L180" s="4"/>
    </row>
    <row r="181" spans="2:12">
      <c r="B181" s="4"/>
      <c r="D181" s="4"/>
      <c r="E181" s="4"/>
      <c r="F181" s="4"/>
      <c r="G181" s="4"/>
      <c r="H181" s="4"/>
      <c r="I181" s="4"/>
      <c r="J181" s="4"/>
      <c r="K181" s="4"/>
      <c r="L181" s="4"/>
    </row>
    <row r="182" spans="2:12">
      <c r="B182" s="4"/>
      <c r="D182" s="4"/>
      <c r="E182" s="4"/>
      <c r="F182" s="4"/>
      <c r="G182" s="4"/>
      <c r="H182" s="4"/>
      <c r="I182" s="4"/>
      <c r="J182" s="4"/>
      <c r="K182" s="4"/>
      <c r="L182" s="4"/>
    </row>
    <row r="183" spans="2:12">
      <c r="B183" s="4"/>
      <c r="D183" s="4"/>
      <c r="E183" s="4"/>
      <c r="F183" s="4"/>
      <c r="G183" s="4"/>
      <c r="H183" s="4"/>
      <c r="I183" s="4"/>
      <c r="J183" s="4"/>
      <c r="K183" s="4"/>
      <c r="L183" s="4"/>
    </row>
    <row r="184" spans="2:12">
      <c r="K184" s="4"/>
      <c r="L184" s="4"/>
    </row>
  </sheetData>
  <mergeCells count="41">
    <mergeCell ref="A1:P1"/>
    <mergeCell ref="A2:P2"/>
    <mergeCell ref="A3:P3"/>
    <mergeCell ref="A4:D4"/>
    <mergeCell ref="A5:P5"/>
    <mergeCell ref="B69:F69"/>
    <mergeCell ref="D44:I44"/>
    <mergeCell ref="D45:I45"/>
    <mergeCell ref="B47:E47"/>
    <mergeCell ref="B48:B54"/>
    <mergeCell ref="B56:E56"/>
    <mergeCell ref="B57:B63"/>
    <mergeCell ref="B66:D67"/>
    <mergeCell ref="B15:B43"/>
    <mergeCell ref="D15:I15"/>
    <mergeCell ref="D22:I22"/>
    <mergeCell ref="D23:I23"/>
    <mergeCell ref="D31:I31"/>
    <mergeCell ref="D32:I32"/>
    <mergeCell ref="D33:I33"/>
    <mergeCell ref="D43:I43"/>
    <mergeCell ref="B89:B94"/>
    <mergeCell ref="B74:D74"/>
    <mergeCell ref="B76:B84"/>
    <mergeCell ref="B85:B86"/>
    <mergeCell ref="D85:D86"/>
    <mergeCell ref="B87:B88"/>
    <mergeCell ref="N24:N25"/>
    <mergeCell ref="O24:O25"/>
    <mergeCell ref="P24:P25"/>
    <mergeCell ref="K24:K25"/>
    <mergeCell ref="K39:K40"/>
    <mergeCell ref="L39:L40"/>
    <mergeCell ref="M39:M40"/>
    <mergeCell ref="L24:L25"/>
    <mergeCell ref="M24:M25"/>
    <mergeCell ref="B10:D10"/>
    <mergeCell ref="F10:S10"/>
    <mergeCell ref="F11:S11"/>
    <mergeCell ref="E12:R12"/>
    <mergeCell ref="E13:R13"/>
  </mergeCells>
  <conditionalFormatting sqref="I20">
    <cfRule type="containsErrors" dxfId="88" priority="6">
      <formula>ISERROR(I20)</formula>
    </cfRule>
  </conditionalFormatting>
  <conditionalFormatting sqref="I25">
    <cfRule type="containsText" dxfId="87" priority="5" operator="containsText" text="debe">
      <formula>NOT(ISERROR(SEARCH("debe",I25)))</formula>
    </cfRule>
  </conditionalFormatting>
  <conditionalFormatting sqref="F10">
    <cfRule type="notContainsBlanks" dxfId="86" priority="4">
      <formula>LEN(TRIM(F10))&gt;0</formula>
    </cfRule>
  </conditionalFormatting>
  <conditionalFormatting sqref="F11:S11">
    <cfRule type="expression" dxfId="85" priority="2">
      <formula>E11="NO SE REPORTA"</formula>
    </cfRule>
    <cfRule type="expression" dxfId="84" priority="3">
      <formula>E10="NO APLICA"</formula>
    </cfRule>
  </conditionalFormatting>
  <conditionalFormatting sqref="E12:R12">
    <cfRule type="expression" dxfId="83" priority="1">
      <formula>E11="SI SE REPORTA"</formula>
    </cfRule>
  </conditionalFormatting>
  <dataValidations count="6">
    <dataValidation type="whole" operator="greaterThanOrEqual" allowBlank="1" showInputMessage="1" showErrorMessage="1" errorTitle="ERROR" error="Valor en HECTAREAS (sin decimales)" sqref="E17:E19 E21 E25:H29 F35:F42 I26:I30 L41:L45" xr:uid="{00000000-0002-0000-1300-000000000000}">
      <formula1>0</formula1>
    </dataValidation>
    <dataValidation allowBlank="1" showInputMessage="1" showErrorMessage="1" promptTitle="ESTADO" prompt="en formulación_x000a_en actualización_x000a_en adopción_x000a_adoptado" sqref="G35:G42" xr:uid="{00000000-0002-0000-1300-000001000000}"/>
    <dataValidation type="whole" errorStyle="warning" operator="equal" allowBlank="1" showInputMessage="1" showErrorMessage="1" error="LA SUMA DEBE SER IGUAL A LA META CUATRIENAL" promptTitle="OJO" prompt="LA SUMA DEBE SER IGUAL A LA META CUATRIENAL" sqref="I25" xr:uid="{00000000-0002-0000-1300-000002000000}">
      <formula1>E20</formula1>
    </dataValidation>
    <dataValidation type="decimal" allowBlank="1" showInputMessage="1" showErrorMessage="1" errorTitle="ERROR" error="Escriba un valor entre 0% y 100%" sqref="L26:L29" xr:uid="{00000000-0002-0000-1300-000003000000}">
      <formula1>0</formula1>
      <formula2>1</formula2>
    </dataValidation>
    <dataValidation type="list" allowBlank="1" showInputMessage="1" showErrorMessage="1" sqref="E11" xr:uid="{00000000-0002-0000-1300-000004000000}">
      <formula1>REPORTE</formula1>
    </dataValidation>
    <dataValidation type="list" allowBlank="1" showInputMessage="1" showErrorMessage="1" sqref="E10" xr:uid="{00000000-0002-0000-1300-000005000000}">
      <formula1>SI</formula1>
    </dataValidation>
  </dataValidations>
  <hyperlinks>
    <hyperlink ref="B9" location="'ANEXO 3'!A1" display="VOLVER AL INDICE" xr:uid="{00000000-0004-0000-1300-000000000000}"/>
    <hyperlink ref="E52" r:id="rId1" xr:uid="{00000000-0004-0000-1300-000001000000}"/>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89"/>
  <sheetViews>
    <sheetView showGridLines="0" topLeftCell="A4" zoomScale="98" zoomScaleNormal="98" workbookViewId="0">
      <selection activeCell="A5" sqref="A5:P5"/>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1" width="10.7109375" style="241"/>
    <col min="12" max="12" width="25.85546875" style="241" customWidth="1"/>
    <col min="13"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747</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1" t="s">
        <v>1440</v>
      </c>
      <c r="C8" s="164">
        <v>2020</v>
      </c>
      <c r="D8" s="169">
        <f>IF(E10="NO APLICA","NO APLICA",IF(E11="NO SE REPORTA","SIN INFORMACION",+G20))</f>
        <v>1</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2001</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6" customHeight="1" thickTop="1" thickBot="1">
      <c r="B15" s="1132" t="s">
        <v>1449</v>
      </c>
      <c r="C15" s="65"/>
      <c r="D15" s="1009" t="s">
        <v>1816</v>
      </c>
      <c r="E15" s="1010"/>
      <c r="F15" s="1010"/>
      <c r="G15" s="1010"/>
      <c r="H15" s="1010"/>
      <c r="I15" s="1010"/>
      <c r="J15" s="1010"/>
      <c r="K15" s="1010"/>
      <c r="L15" s="1145"/>
    </row>
    <row r="16" spans="1:21" ht="36.75" thickBot="1">
      <c r="B16" s="1133"/>
      <c r="C16" s="890"/>
      <c r="D16" s="842" t="s">
        <v>2002</v>
      </c>
      <c r="E16" s="842" t="s">
        <v>2003</v>
      </c>
      <c r="F16" s="842" t="s">
        <v>2004</v>
      </c>
      <c r="G16" s="842" t="s">
        <v>2005</v>
      </c>
      <c r="H16" s="4"/>
      <c r="I16" s="4"/>
      <c r="J16" s="4"/>
      <c r="K16" s="4"/>
      <c r="L16" s="11"/>
    </row>
    <row r="17" spans="2:12" ht="36.75" thickBot="1">
      <c r="B17" s="1133"/>
      <c r="C17" s="890"/>
      <c r="D17" s="845" t="s">
        <v>2006</v>
      </c>
      <c r="E17" s="160">
        <v>5</v>
      </c>
      <c r="F17" s="160">
        <v>0</v>
      </c>
      <c r="G17" s="106">
        <f>+E17+F17</f>
        <v>5</v>
      </c>
      <c r="H17" s="4"/>
      <c r="I17" s="4"/>
      <c r="J17" s="4"/>
      <c r="K17" s="4"/>
      <c r="L17" s="11"/>
    </row>
    <row r="18" spans="2:12" ht="24.75" thickBot="1">
      <c r="B18" s="1133"/>
      <c r="C18" s="890"/>
      <c r="D18" s="845" t="s">
        <v>2007</v>
      </c>
      <c r="E18" s="160">
        <v>4</v>
      </c>
      <c r="F18" s="160"/>
      <c r="G18" s="106">
        <f>+E18+F18</f>
        <v>4</v>
      </c>
      <c r="H18" s="4"/>
      <c r="I18" s="4"/>
      <c r="J18" s="4"/>
      <c r="K18" s="4"/>
      <c r="L18" s="11"/>
    </row>
    <row r="19" spans="2:12" ht="24.75" thickBot="1">
      <c r="B19" s="1133"/>
      <c r="C19" s="890"/>
      <c r="D19" s="845" t="s">
        <v>2008</v>
      </c>
      <c r="E19" s="160">
        <v>4</v>
      </c>
      <c r="F19" s="160"/>
      <c r="G19" s="106">
        <f>+E19+F19</f>
        <v>4</v>
      </c>
      <c r="H19" s="4"/>
      <c r="I19" s="4"/>
      <c r="J19" s="4"/>
      <c r="K19" s="4"/>
      <c r="L19" s="11"/>
    </row>
    <row r="20" spans="2:12" ht="24.75" thickBot="1">
      <c r="B20" s="1133"/>
      <c r="C20" s="890"/>
      <c r="D20" s="845" t="s">
        <v>747</v>
      </c>
      <c r="E20" s="143">
        <f>IFERROR(E19/E18,"N.A.")</f>
        <v>1</v>
      </c>
      <c r="F20" s="143" t="str">
        <f>IFERROR(F19/F18,"N.A.")</f>
        <v>N.A.</v>
      </c>
      <c r="G20" s="99">
        <f>IFERROR(G19/G18,0)</f>
        <v>1</v>
      </c>
      <c r="H20" s="4"/>
      <c r="I20" s="4"/>
      <c r="J20" s="4"/>
      <c r="K20" s="4"/>
      <c r="L20" s="11"/>
    </row>
    <row r="21" spans="2:12">
      <c r="B21" s="1133"/>
      <c r="C21" s="68"/>
      <c r="D21" s="1015"/>
      <c r="E21" s="1016"/>
      <c r="F21" s="1016"/>
      <c r="G21" s="1016"/>
      <c r="H21" s="1016"/>
      <c r="I21" s="1016"/>
      <c r="J21" s="1016"/>
      <c r="K21" s="1016"/>
      <c r="L21" s="1146"/>
    </row>
    <row r="22" spans="2:12">
      <c r="B22" s="1133"/>
      <c r="C22" s="68"/>
      <c r="D22" s="1012" t="s">
        <v>1726</v>
      </c>
      <c r="E22" s="1013"/>
      <c r="F22" s="1013"/>
      <c r="G22" s="1013"/>
      <c r="H22" s="1013"/>
      <c r="I22" s="1013"/>
      <c r="J22" s="1013"/>
      <c r="K22" s="1013"/>
      <c r="L22" s="1147"/>
    </row>
    <row r="23" spans="2:12">
      <c r="B23" s="1133"/>
      <c r="C23" s="68"/>
      <c r="D23" s="1012" t="s">
        <v>2009</v>
      </c>
      <c r="E23" s="1013"/>
      <c r="F23" s="1013"/>
      <c r="G23" s="1013"/>
      <c r="H23" s="1013"/>
      <c r="I23" s="1013"/>
      <c r="J23" s="1013"/>
      <c r="K23" s="1013"/>
      <c r="L23" s="1147"/>
    </row>
    <row r="24" spans="2:12" ht="15.75" thickBot="1">
      <c r="B24" s="1133"/>
      <c r="C24" s="68"/>
      <c r="D24" s="1044" t="s">
        <v>1823</v>
      </c>
      <c r="E24" s="1045"/>
      <c r="F24" s="1045"/>
      <c r="G24" s="1045"/>
      <c r="H24" s="1045"/>
      <c r="I24" s="1045"/>
      <c r="J24" s="1045"/>
      <c r="K24" s="1045"/>
      <c r="L24" s="1148"/>
    </row>
    <row r="25" spans="2:12" ht="15.6" customHeight="1">
      <c r="B25" s="838"/>
      <c r="C25" s="1142" t="s">
        <v>1402</v>
      </c>
      <c r="D25" s="1134" t="s">
        <v>1728</v>
      </c>
      <c r="E25" s="1134" t="s">
        <v>2010</v>
      </c>
      <c r="F25" s="1134" t="s">
        <v>1882</v>
      </c>
      <c r="G25" s="1134" t="s">
        <v>2011</v>
      </c>
      <c r="H25" s="52" t="s">
        <v>2012</v>
      </c>
      <c r="I25" s="52" t="s">
        <v>2013</v>
      </c>
      <c r="J25" s="1134" t="s">
        <v>1732</v>
      </c>
      <c r="K25" s="1134" t="s">
        <v>1733</v>
      </c>
      <c r="L25" s="1134" t="s">
        <v>1406</v>
      </c>
    </row>
    <row r="26" spans="2:12" ht="15.75" thickBot="1">
      <c r="B26" s="838"/>
      <c r="C26" s="1143"/>
      <c r="D26" s="1144"/>
      <c r="E26" s="1135"/>
      <c r="F26" s="1135"/>
      <c r="G26" s="1135"/>
      <c r="H26" s="49" t="s">
        <v>2014</v>
      </c>
      <c r="I26" s="49" t="s">
        <v>2015</v>
      </c>
      <c r="J26" s="1135"/>
      <c r="K26" s="1135"/>
      <c r="L26" s="1135"/>
    </row>
    <row r="27" spans="2:12" ht="74.25" customHeight="1" thickBot="1">
      <c r="B27" s="838"/>
      <c r="C27" s="740"/>
      <c r="D27" s="742" t="s">
        <v>2016</v>
      </c>
      <c r="E27" s="24" t="s">
        <v>2017</v>
      </c>
      <c r="F27" s="25" t="s">
        <v>2018</v>
      </c>
      <c r="G27" s="25" t="s">
        <v>2019</v>
      </c>
      <c r="H27" s="161"/>
      <c r="I27" s="161"/>
      <c r="J27" s="161"/>
      <c r="K27" s="161"/>
      <c r="L27" s="144" t="s">
        <v>2020</v>
      </c>
    </row>
    <row r="28" spans="2:12" ht="37.5" thickBot="1">
      <c r="B28" s="838"/>
      <c r="C28" s="740"/>
      <c r="D28" s="742" t="s">
        <v>2016</v>
      </c>
      <c r="E28" s="25" t="s">
        <v>2021</v>
      </c>
      <c r="F28" s="25" t="s">
        <v>2018</v>
      </c>
      <c r="G28" s="25" t="s">
        <v>2022</v>
      </c>
      <c r="H28" s="161"/>
      <c r="I28" s="161"/>
      <c r="J28" s="161"/>
      <c r="K28" s="161"/>
      <c r="L28" s="161"/>
    </row>
    <row r="29" spans="2:12" ht="37.5" thickBot="1">
      <c r="B29" s="838"/>
      <c r="C29" s="740"/>
      <c r="D29" s="742" t="s">
        <v>2016</v>
      </c>
      <c r="E29" s="25" t="s">
        <v>2023</v>
      </c>
      <c r="F29" s="25" t="s">
        <v>2018</v>
      </c>
      <c r="G29" s="25" t="s">
        <v>2024</v>
      </c>
      <c r="H29" s="161"/>
      <c r="I29" s="161"/>
      <c r="J29" s="161"/>
      <c r="K29" s="161"/>
      <c r="L29" s="161"/>
    </row>
    <row r="30" spans="2:12" ht="78" customHeight="1" thickBot="1">
      <c r="B30" s="838"/>
      <c r="C30" s="740"/>
      <c r="D30" s="742" t="s">
        <v>2025</v>
      </c>
      <c r="E30" s="24" t="s">
        <v>2026</v>
      </c>
      <c r="F30" s="25" t="s">
        <v>2018</v>
      </c>
      <c r="G30" s="25" t="s">
        <v>2022</v>
      </c>
      <c r="H30" s="161"/>
      <c r="I30" s="161"/>
      <c r="J30" s="161"/>
      <c r="K30" s="161"/>
      <c r="L30" s="144" t="s">
        <v>2027</v>
      </c>
    </row>
    <row r="31" spans="2:12" ht="73.5" thickBot="1">
      <c r="B31" s="838"/>
      <c r="C31" s="740"/>
      <c r="D31" s="742" t="s">
        <v>2025</v>
      </c>
      <c r="E31" s="24" t="s">
        <v>2028</v>
      </c>
      <c r="F31" s="25" t="s">
        <v>2018</v>
      </c>
      <c r="G31" s="25" t="s">
        <v>2022</v>
      </c>
      <c r="H31" s="161"/>
      <c r="I31" s="161"/>
      <c r="J31" s="161"/>
      <c r="K31" s="161"/>
      <c r="L31" s="161"/>
    </row>
    <row r="32" spans="2:12" ht="108.75" thickBot="1">
      <c r="B32" s="838"/>
      <c r="C32" s="67"/>
      <c r="D32" s="743" t="s">
        <v>2029</v>
      </c>
      <c r="E32" s="25"/>
      <c r="F32" s="25"/>
      <c r="G32" s="25"/>
      <c r="H32" s="161">
        <v>967160427</v>
      </c>
      <c r="I32" s="161"/>
      <c r="J32" s="161">
        <v>124485000</v>
      </c>
      <c r="K32" s="161"/>
      <c r="L32" s="144" t="s">
        <v>2030</v>
      </c>
    </row>
    <row r="33" spans="2:12" ht="15.75" thickBot="1">
      <c r="B33" s="838"/>
      <c r="C33" s="67"/>
      <c r="D33" s="25"/>
      <c r="E33" s="25"/>
      <c r="F33" s="25"/>
      <c r="G33" s="25"/>
      <c r="H33" s="161"/>
      <c r="I33" s="161"/>
      <c r="J33" s="161"/>
      <c r="K33" s="161"/>
      <c r="L33" s="161"/>
    </row>
    <row r="34" spans="2:12" ht="15.75" thickBot="1">
      <c r="B34" s="838"/>
      <c r="C34" s="67"/>
      <c r="D34" s="25"/>
      <c r="E34" s="25"/>
      <c r="F34" s="25"/>
      <c r="G34" s="25"/>
      <c r="H34" s="161"/>
      <c r="I34" s="161"/>
      <c r="J34" s="161"/>
      <c r="K34" s="161"/>
      <c r="L34" s="161"/>
    </row>
    <row r="35" spans="2:12" ht="15.75" thickBot="1">
      <c r="B35" s="838"/>
      <c r="C35" s="67"/>
      <c r="D35" s="25"/>
      <c r="E35" s="25"/>
      <c r="F35" s="25"/>
      <c r="G35" s="25"/>
      <c r="H35" s="161"/>
      <c r="I35" s="161"/>
      <c r="J35" s="161"/>
      <c r="K35" s="161"/>
      <c r="L35" s="161"/>
    </row>
    <row r="36" spans="2:12" ht="15.75" thickBot="1">
      <c r="B36" s="838"/>
      <c r="C36" s="67"/>
      <c r="D36" s="25"/>
      <c r="E36" s="25"/>
      <c r="F36" s="25"/>
      <c r="G36" s="25"/>
      <c r="H36" s="161"/>
      <c r="I36" s="161"/>
      <c r="J36" s="161"/>
      <c r="K36" s="161"/>
      <c r="L36" s="161"/>
    </row>
    <row r="37" spans="2:12" ht="15.75" thickBot="1">
      <c r="B37" s="838"/>
      <c r="C37" s="67"/>
      <c r="D37" s="25"/>
      <c r="E37" s="25"/>
      <c r="F37" s="25"/>
      <c r="G37" s="25"/>
      <c r="H37" s="161"/>
      <c r="I37" s="161"/>
      <c r="J37" s="161"/>
      <c r="K37" s="161"/>
      <c r="L37" s="161"/>
    </row>
    <row r="38" spans="2:12" ht="15.75" thickBot="1">
      <c r="B38" s="838"/>
      <c r="C38" s="67"/>
      <c r="D38" s="25"/>
      <c r="E38" s="25"/>
      <c r="F38" s="25"/>
      <c r="G38" s="25"/>
      <c r="H38" s="161"/>
      <c r="I38" s="161"/>
      <c r="J38" s="161"/>
      <c r="K38" s="161"/>
      <c r="L38" s="161"/>
    </row>
    <row r="39" spans="2:12" ht="15.75" thickBot="1">
      <c r="B39" s="838"/>
      <c r="C39" s="67"/>
      <c r="D39" s="25"/>
      <c r="E39" s="25"/>
      <c r="F39" s="25"/>
      <c r="G39" s="25"/>
      <c r="H39" s="161"/>
      <c r="I39" s="161"/>
      <c r="J39" s="161"/>
      <c r="K39" s="161"/>
      <c r="L39" s="161"/>
    </row>
    <row r="40" spans="2:12" ht="15.75" thickBot="1">
      <c r="B40" s="839"/>
      <c r="C40" s="79"/>
      <c r="D40" s="32" t="s">
        <v>1604</v>
      </c>
      <c r="E40" s="21"/>
      <c r="F40" s="21"/>
      <c r="G40" s="21"/>
      <c r="H40" s="97">
        <f>SUM(H27:H39)</f>
        <v>967160427</v>
      </c>
      <c r="I40" s="97">
        <f>SUM(I27:I39)</f>
        <v>0</v>
      </c>
      <c r="J40" s="97">
        <f>SUM(J27:J39)</f>
        <v>124485000</v>
      </c>
      <c r="K40" s="97">
        <f>SUM(K27:K39)</f>
        <v>0</v>
      </c>
      <c r="L40" s="10"/>
    </row>
    <row r="41" spans="2:12" ht="24" customHeight="1" thickBot="1">
      <c r="B41" s="867" t="s">
        <v>1504</v>
      </c>
      <c r="C41" s="77"/>
      <c r="D41" s="1041" t="s">
        <v>2031</v>
      </c>
      <c r="E41" s="1042"/>
      <c r="F41" s="1042"/>
      <c r="G41" s="1042"/>
      <c r="H41" s="1042"/>
      <c r="I41" s="1042"/>
      <c r="J41" s="1042"/>
      <c r="K41" s="1042"/>
      <c r="L41" s="1149"/>
    </row>
    <row r="42" spans="2:12" ht="24" customHeight="1" thickBot="1">
      <c r="B42" s="867" t="s">
        <v>1506</v>
      </c>
      <c r="C42" s="77"/>
      <c r="D42" s="1041" t="s">
        <v>1831</v>
      </c>
      <c r="E42" s="1042"/>
      <c r="F42" s="1042"/>
      <c r="G42" s="1042"/>
      <c r="H42" s="1042"/>
      <c r="I42" s="1042"/>
      <c r="J42" s="1042"/>
      <c r="K42" s="1042"/>
      <c r="L42" s="1149"/>
    </row>
    <row r="43" spans="2:12" ht="15.75" thickBot="1">
      <c r="B43" s="1"/>
      <c r="C43" s="55"/>
      <c r="D43" s="4"/>
      <c r="E43" s="4"/>
      <c r="F43" s="4"/>
      <c r="G43" s="4"/>
      <c r="H43" s="4"/>
      <c r="I43" s="4"/>
      <c r="J43" s="4"/>
      <c r="K43" s="4"/>
    </row>
    <row r="44" spans="2:12" ht="24" customHeight="1" thickBot="1">
      <c r="B44" s="1029" t="s">
        <v>1508</v>
      </c>
      <c r="C44" s="1030"/>
      <c r="D44" s="1030"/>
      <c r="E44" s="1031"/>
      <c r="F44" s="4"/>
      <c r="G44" s="4"/>
      <c r="H44" s="4"/>
      <c r="I44" s="4"/>
      <c r="J44" s="4"/>
      <c r="K44" s="4"/>
    </row>
    <row r="45" spans="2:12" ht="15.75" thickBot="1">
      <c r="B45" s="1032">
        <v>1</v>
      </c>
      <c r="C45" s="890"/>
      <c r="D45" s="37" t="s">
        <v>1509</v>
      </c>
      <c r="E45" s="25" t="s">
        <v>1510</v>
      </c>
      <c r="F45" s="4"/>
      <c r="G45" s="4"/>
      <c r="H45" s="4"/>
      <c r="I45" s="4"/>
      <c r="J45" s="4"/>
      <c r="K45" s="4"/>
    </row>
    <row r="46" spans="2:12" ht="36.75" thickBot="1">
      <c r="B46" s="1033"/>
      <c r="C46" s="890"/>
      <c r="D46" s="845" t="s">
        <v>10</v>
      </c>
      <c r="E46" s="24" t="s">
        <v>2032</v>
      </c>
      <c r="F46" s="4"/>
      <c r="G46" s="4"/>
      <c r="H46" s="4"/>
      <c r="I46" s="4"/>
      <c r="J46" s="4"/>
      <c r="K46" s="4"/>
    </row>
    <row r="47" spans="2:12" ht="24.75" thickBot="1">
      <c r="B47" s="1033"/>
      <c r="C47" s="890"/>
      <c r="D47" s="845" t="s">
        <v>1512</v>
      </c>
      <c r="E47" s="24" t="s">
        <v>1691</v>
      </c>
      <c r="F47" s="4"/>
      <c r="G47" s="4"/>
      <c r="H47" s="4"/>
      <c r="I47" s="4"/>
      <c r="J47" s="4"/>
      <c r="K47" s="4"/>
    </row>
    <row r="48" spans="2:12" ht="15.75" thickBot="1">
      <c r="B48" s="1033"/>
      <c r="C48" s="890"/>
      <c r="D48" s="845" t="s">
        <v>13</v>
      </c>
      <c r="E48" s="25" t="s">
        <v>1514</v>
      </c>
      <c r="F48" s="4"/>
      <c r="G48" s="4"/>
      <c r="H48" s="4"/>
      <c r="I48" s="4"/>
      <c r="J48" s="4"/>
      <c r="K48" s="4"/>
    </row>
    <row r="49" spans="2:11" ht="45.75" thickBot="1">
      <c r="B49" s="1033"/>
      <c r="C49" s="890"/>
      <c r="D49" s="845" t="s">
        <v>16</v>
      </c>
      <c r="E49" s="704" t="s">
        <v>1646</v>
      </c>
      <c r="F49" s="4"/>
      <c r="G49" s="4"/>
      <c r="H49" s="4"/>
      <c r="I49" s="4"/>
      <c r="J49" s="4"/>
      <c r="K49" s="4"/>
    </row>
    <row r="50" spans="2:11" ht="24.75" thickBot="1">
      <c r="B50" s="1033"/>
      <c r="C50" s="890"/>
      <c r="D50" s="845" t="s">
        <v>19</v>
      </c>
      <c r="E50" s="24" t="s">
        <v>1647</v>
      </c>
      <c r="F50" s="4"/>
      <c r="G50" s="4"/>
      <c r="H50" s="4"/>
      <c r="I50" s="4"/>
      <c r="J50" s="4"/>
      <c r="K50" s="4"/>
    </row>
    <row r="51" spans="2:11" ht="24.75" thickBot="1">
      <c r="B51" s="1034"/>
      <c r="C51" s="857"/>
      <c r="D51" s="845" t="s">
        <v>1516</v>
      </c>
      <c r="E51" s="24" t="s">
        <v>1517</v>
      </c>
      <c r="F51" s="4"/>
      <c r="G51" s="4"/>
      <c r="H51" s="4"/>
      <c r="I51" s="4"/>
      <c r="J51" s="4"/>
      <c r="K51" s="4"/>
    </row>
    <row r="52" spans="2:11" ht="15.75" thickBot="1">
      <c r="B52" s="1"/>
      <c r="C52" s="55"/>
      <c r="D52" s="4"/>
      <c r="E52" s="4"/>
      <c r="F52" s="4"/>
      <c r="G52" s="4"/>
      <c r="H52" s="4"/>
      <c r="I52" s="4"/>
      <c r="J52" s="4"/>
      <c r="K52" s="4"/>
    </row>
    <row r="53" spans="2:11" ht="15.75" thickBot="1">
      <c r="B53" s="1029" t="s">
        <v>1518</v>
      </c>
      <c r="C53" s="1030"/>
      <c r="D53" s="1030"/>
      <c r="E53" s="1031"/>
      <c r="F53" s="4"/>
      <c r="G53" s="4"/>
      <c r="H53" s="4"/>
      <c r="I53" s="4"/>
      <c r="J53" s="4"/>
      <c r="K53" s="4"/>
    </row>
    <row r="54" spans="2:11" ht="15.75" thickBot="1">
      <c r="B54" s="1032">
        <v>1</v>
      </c>
      <c r="C54" s="890"/>
      <c r="D54" s="37" t="s">
        <v>1509</v>
      </c>
      <c r="E54" s="299" t="s">
        <v>1519</v>
      </c>
      <c r="F54" s="4"/>
      <c r="G54" s="4"/>
      <c r="H54" s="4"/>
      <c r="I54" s="4"/>
      <c r="J54" s="4"/>
      <c r="K54" s="4"/>
    </row>
    <row r="55" spans="2:11" ht="15.75" thickBot="1">
      <c r="B55" s="1033"/>
      <c r="C55" s="890"/>
      <c r="D55" s="845" t="s">
        <v>10</v>
      </c>
      <c r="E55" s="299" t="s">
        <v>1520</v>
      </c>
      <c r="F55" s="4"/>
      <c r="G55" s="4"/>
      <c r="H55" s="4"/>
      <c r="I55" s="4"/>
      <c r="J55" s="4"/>
      <c r="K55" s="4"/>
    </row>
    <row r="56" spans="2:11" ht="15.75" thickBot="1">
      <c r="B56" s="1033"/>
      <c r="C56" s="890"/>
      <c r="D56" s="845" t="s">
        <v>1512</v>
      </c>
      <c r="E56" s="211"/>
      <c r="F56" s="4"/>
      <c r="G56" s="4"/>
      <c r="H56" s="4"/>
      <c r="I56" s="4"/>
      <c r="J56" s="4"/>
      <c r="K56" s="4"/>
    </row>
    <row r="57" spans="2:11" ht="15.75" thickBot="1">
      <c r="B57" s="1033"/>
      <c r="C57" s="890"/>
      <c r="D57" s="845" t="s">
        <v>13</v>
      </c>
      <c r="E57" s="211"/>
      <c r="F57" s="4"/>
      <c r="G57" s="4"/>
      <c r="H57" s="4"/>
      <c r="I57" s="4"/>
      <c r="J57" s="4"/>
      <c r="K57" s="4"/>
    </row>
    <row r="58" spans="2:11" ht="15.75" thickBot="1">
      <c r="B58" s="1033"/>
      <c r="C58" s="890"/>
      <c r="D58" s="845" t="s">
        <v>16</v>
      </c>
      <c r="E58" s="211"/>
      <c r="F58" s="4"/>
      <c r="G58" s="4"/>
      <c r="H58" s="4"/>
      <c r="I58" s="4"/>
      <c r="J58" s="4"/>
      <c r="K58" s="4"/>
    </row>
    <row r="59" spans="2:11" ht="15.75" thickBot="1">
      <c r="B59" s="1033"/>
      <c r="C59" s="890"/>
      <c r="D59" s="845" t="s">
        <v>19</v>
      </c>
      <c r="E59" s="211"/>
      <c r="F59" s="4"/>
      <c r="G59" s="4"/>
      <c r="H59" s="4"/>
      <c r="I59" s="4"/>
      <c r="J59" s="4"/>
      <c r="K59" s="4"/>
    </row>
    <row r="60" spans="2:11" ht="15.75" thickBot="1">
      <c r="B60" s="1034"/>
      <c r="C60" s="857"/>
      <c r="D60" s="845" t="s">
        <v>1516</v>
      </c>
      <c r="E60" s="211"/>
      <c r="F60" s="4"/>
      <c r="G60" s="4"/>
      <c r="H60" s="4"/>
      <c r="I60" s="4"/>
      <c r="J60" s="4"/>
      <c r="K60" s="4"/>
    </row>
    <row r="61" spans="2:11" ht="15.75" thickBot="1">
      <c r="B61" s="1"/>
      <c r="C61" s="55"/>
      <c r="D61" s="4"/>
      <c r="E61" s="4"/>
      <c r="F61" s="4"/>
      <c r="G61" s="4"/>
      <c r="H61" s="4"/>
      <c r="I61" s="4"/>
      <c r="J61" s="4"/>
      <c r="K61" s="4"/>
    </row>
    <row r="62" spans="2:11" ht="15" customHeight="1" thickBot="1">
      <c r="B62" s="846" t="s">
        <v>1521</v>
      </c>
      <c r="C62" s="847"/>
      <c r="D62" s="847"/>
      <c r="E62" s="848"/>
      <c r="F62" s="4"/>
      <c r="G62" s="4"/>
      <c r="H62" s="4"/>
      <c r="I62" s="4"/>
      <c r="J62" s="4"/>
      <c r="K62" s="4"/>
    </row>
    <row r="63" spans="2:11" ht="24.75" thickBot="1">
      <c r="B63" s="839" t="s">
        <v>1522</v>
      </c>
      <c r="C63" s="845" t="s">
        <v>1523</v>
      </c>
      <c r="D63" s="845" t="s">
        <v>1524</v>
      </c>
      <c r="E63" s="845" t="s">
        <v>1525</v>
      </c>
      <c r="F63" s="4"/>
      <c r="G63" s="4"/>
      <c r="H63" s="4"/>
      <c r="I63" s="4"/>
      <c r="J63" s="4"/>
    </row>
    <row r="64" spans="2:11" ht="72.75" thickBot="1">
      <c r="B64" s="38">
        <v>42401</v>
      </c>
      <c r="C64" s="845">
        <v>0.01</v>
      </c>
      <c r="D64" s="837" t="s">
        <v>2033</v>
      </c>
      <c r="E64" s="845"/>
      <c r="F64" s="4"/>
      <c r="G64" s="4"/>
      <c r="H64" s="4"/>
      <c r="I64" s="4"/>
      <c r="J64" s="4"/>
    </row>
    <row r="65" spans="2:11" ht="15.75" thickBot="1">
      <c r="B65" s="1"/>
      <c r="C65" s="55"/>
      <c r="D65" s="4"/>
      <c r="E65" s="4"/>
      <c r="F65" s="4"/>
      <c r="G65" s="4"/>
      <c r="H65" s="4"/>
      <c r="I65" s="4"/>
      <c r="J65" s="4"/>
      <c r="K65" s="4"/>
    </row>
    <row r="66" spans="2:11">
      <c r="B66" s="879" t="s">
        <v>1406</v>
      </c>
      <c r="C66" s="705"/>
      <c r="D66" s="4"/>
      <c r="E66" s="4"/>
      <c r="F66" s="4"/>
      <c r="G66" s="4"/>
      <c r="H66" s="4"/>
      <c r="I66" s="4"/>
      <c r="J66" s="4"/>
      <c r="K66" s="4"/>
    </row>
    <row r="67" spans="2:11" ht="14.45" customHeight="1">
      <c r="B67" s="1136" t="s">
        <v>2034</v>
      </c>
      <c r="C67" s="1137"/>
      <c r="D67" s="1137"/>
      <c r="E67" s="1137"/>
      <c r="F67" s="1137"/>
      <c r="G67" s="1138"/>
      <c r="H67" s="4"/>
      <c r="I67" s="4"/>
      <c r="J67" s="4"/>
      <c r="K67" s="4"/>
    </row>
    <row r="68" spans="2:11">
      <c r="B68" s="1139"/>
      <c r="C68" s="1140"/>
      <c r="D68" s="1140"/>
      <c r="E68" s="1140"/>
      <c r="F68" s="1140"/>
      <c r="G68" s="1141"/>
      <c r="H68" s="4"/>
      <c r="I68" s="4"/>
      <c r="J68" s="4"/>
      <c r="K68" s="4"/>
    </row>
    <row r="69" spans="2:11">
      <c r="B69" s="122"/>
      <c r="C69" s="123"/>
      <c r="D69" s="123"/>
      <c r="E69" s="123"/>
      <c r="F69" s="123"/>
      <c r="G69" s="124"/>
      <c r="H69" s="4"/>
      <c r="I69" s="4"/>
      <c r="J69" s="4"/>
      <c r="K69" s="4"/>
    </row>
    <row r="70" spans="2:11" ht="15.75" thickBot="1">
      <c r="B70" s="4"/>
      <c r="D70" s="4"/>
      <c r="E70" s="4"/>
      <c r="F70" s="4"/>
      <c r="G70" s="4"/>
      <c r="H70" s="4"/>
      <c r="I70" s="4"/>
      <c r="J70" s="4"/>
      <c r="K70" s="4"/>
    </row>
    <row r="71" spans="2:11" ht="15.75" thickBot="1">
      <c r="B71" s="1029" t="s">
        <v>2035</v>
      </c>
      <c r="C71" s="1030"/>
      <c r="D71" s="1031"/>
      <c r="E71" s="4"/>
      <c r="F71" s="4"/>
      <c r="G71" s="4"/>
      <c r="H71" s="4"/>
      <c r="I71" s="4"/>
      <c r="J71" s="4"/>
      <c r="K71" s="4"/>
    </row>
    <row r="72" spans="2:11" ht="108.75" thickBot="1">
      <c r="B72" s="839" t="s">
        <v>1528</v>
      </c>
      <c r="C72" s="857"/>
      <c r="D72" s="845" t="s">
        <v>2036</v>
      </c>
      <c r="E72" s="4"/>
      <c r="F72" s="4"/>
      <c r="G72" s="4"/>
      <c r="H72" s="4"/>
      <c r="I72" s="4"/>
      <c r="J72" s="4"/>
      <c r="K72" s="4"/>
    </row>
    <row r="73" spans="2:11">
      <c r="B73" s="1032" t="s">
        <v>1530</v>
      </c>
      <c r="C73" s="890"/>
      <c r="D73" s="836" t="s">
        <v>1531</v>
      </c>
      <c r="E73" s="4"/>
      <c r="F73" s="4"/>
      <c r="G73" s="4"/>
      <c r="H73" s="4"/>
      <c r="I73" s="4"/>
      <c r="J73" s="4"/>
      <c r="K73" s="4"/>
    </row>
    <row r="74" spans="2:11" ht="120">
      <c r="B74" s="1033"/>
      <c r="C74" s="890"/>
      <c r="D74" s="829" t="s">
        <v>2037</v>
      </c>
      <c r="E74" s="4"/>
      <c r="F74" s="4"/>
      <c r="G74" s="4"/>
      <c r="H74" s="4"/>
      <c r="I74" s="4"/>
      <c r="J74" s="4"/>
      <c r="K74" s="4"/>
    </row>
    <row r="75" spans="2:11">
      <c r="B75" s="1033"/>
      <c r="C75" s="890"/>
      <c r="D75" s="836" t="s">
        <v>1534</v>
      </c>
      <c r="E75" s="4"/>
      <c r="F75" s="4"/>
      <c r="G75" s="4"/>
      <c r="H75" s="4"/>
      <c r="I75" s="4"/>
      <c r="J75" s="4"/>
      <c r="K75" s="4"/>
    </row>
    <row r="76" spans="2:11">
      <c r="B76" s="1033"/>
      <c r="C76" s="890"/>
      <c r="D76" s="829" t="s">
        <v>1536</v>
      </c>
      <c r="E76" s="4"/>
      <c r="F76" s="4"/>
      <c r="G76" s="4"/>
      <c r="H76" s="4"/>
      <c r="I76" s="4"/>
      <c r="J76" s="4"/>
      <c r="K76" s="4"/>
    </row>
    <row r="77" spans="2:11">
      <c r="B77" s="1033"/>
      <c r="C77" s="890"/>
      <c r="D77" s="836" t="s">
        <v>1797</v>
      </c>
      <c r="E77" s="4"/>
      <c r="F77" s="4"/>
      <c r="G77" s="4"/>
      <c r="H77" s="4"/>
      <c r="I77" s="4"/>
      <c r="J77" s="4"/>
      <c r="K77" s="4"/>
    </row>
    <row r="78" spans="2:11" ht="36.75" thickBot="1">
      <c r="B78" s="1034"/>
      <c r="C78" s="857"/>
      <c r="D78" s="845" t="s">
        <v>2038</v>
      </c>
      <c r="E78" s="4"/>
      <c r="F78" s="4"/>
      <c r="G78" s="4"/>
      <c r="H78" s="4"/>
      <c r="I78" s="4"/>
      <c r="J78" s="4"/>
      <c r="K78" s="4"/>
    </row>
    <row r="79" spans="2:11">
      <c r="B79" s="1032" t="s">
        <v>1543</v>
      </c>
      <c r="C79" s="854"/>
      <c r="D79" s="1032"/>
      <c r="E79" s="4"/>
      <c r="F79" s="4"/>
      <c r="G79" s="4"/>
      <c r="H79" s="4"/>
      <c r="I79" s="4"/>
      <c r="J79" s="4"/>
      <c r="K79" s="4"/>
    </row>
    <row r="80" spans="2:11" ht="15.75" thickBot="1">
      <c r="B80" s="1034"/>
      <c r="C80" s="855"/>
      <c r="D80" s="1034"/>
      <c r="E80" s="4"/>
      <c r="F80" s="4"/>
      <c r="G80" s="4"/>
      <c r="H80" s="4"/>
      <c r="I80" s="4"/>
      <c r="J80" s="4"/>
      <c r="K80" s="4"/>
    </row>
    <row r="81" spans="2:11" ht="108">
      <c r="B81" s="1032" t="s">
        <v>1544</v>
      </c>
      <c r="C81" s="890"/>
      <c r="D81" s="829" t="s">
        <v>1907</v>
      </c>
      <c r="E81" s="4"/>
      <c r="F81" s="4"/>
      <c r="G81" s="4"/>
      <c r="H81" s="4"/>
      <c r="I81" s="4"/>
      <c r="J81" s="4"/>
      <c r="K81" s="4"/>
    </row>
    <row r="82" spans="2:11" ht="144">
      <c r="B82" s="1033"/>
      <c r="C82" s="890"/>
      <c r="D82" s="829" t="s">
        <v>1908</v>
      </c>
      <c r="E82" s="4"/>
      <c r="F82" s="4"/>
      <c r="G82" s="4"/>
      <c r="H82" s="4"/>
      <c r="I82" s="4"/>
      <c r="J82" s="4"/>
      <c r="K82" s="4"/>
    </row>
    <row r="83" spans="2:11" ht="72">
      <c r="B83" s="1033"/>
      <c r="C83" s="890"/>
      <c r="D83" s="829" t="s">
        <v>1910</v>
      </c>
      <c r="E83" s="4"/>
      <c r="F83" s="4"/>
      <c r="G83" s="4"/>
      <c r="H83" s="4"/>
      <c r="I83" s="4"/>
      <c r="J83" s="4"/>
      <c r="K83" s="4"/>
    </row>
    <row r="84" spans="2:11" ht="36">
      <c r="B84" s="1033"/>
      <c r="C84" s="890"/>
      <c r="D84" s="829" t="s">
        <v>2039</v>
      </c>
      <c r="E84" s="4"/>
      <c r="F84" s="4"/>
      <c r="G84" s="4"/>
      <c r="H84" s="4"/>
      <c r="I84" s="4"/>
      <c r="J84" s="4"/>
      <c r="K84" s="4"/>
    </row>
    <row r="85" spans="2:11" ht="192.75" thickBot="1">
      <c r="B85" s="1034"/>
      <c r="C85" s="857"/>
      <c r="D85" s="845" t="s">
        <v>2040</v>
      </c>
      <c r="E85" s="4"/>
      <c r="F85" s="4"/>
      <c r="G85" s="4"/>
      <c r="H85" s="4"/>
      <c r="I85" s="4"/>
      <c r="J85" s="4"/>
      <c r="K85" s="4"/>
    </row>
    <row r="86" spans="2:11" ht="24">
      <c r="B86" s="1032" t="s">
        <v>1561</v>
      </c>
      <c r="C86" s="890"/>
      <c r="D86" s="836" t="s">
        <v>2041</v>
      </c>
      <c r="E86" s="4"/>
      <c r="F86" s="4"/>
      <c r="G86" s="4"/>
      <c r="H86" s="4"/>
      <c r="I86" s="4"/>
      <c r="J86" s="4"/>
      <c r="K86" s="4"/>
    </row>
    <row r="87" spans="2:11">
      <c r="B87" s="1033"/>
      <c r="C87" s="890"/>
      <c r="D87" s="826"/>
      <c r="E87" s="4"/>
      <c r="F87" s="4"/>
      <c r="G87" s="4"/>
      <c r="H87" s="4"/>
      <c r="I87" s="4"/>
      <c r="J87" s="4"/>
      <c r="K87" s="4"/>
    </row>
    <row r="88" spans="2:11">
      <c r="B88" s="1033"/>
      <c r="C88" s="890"/>
      <c r="D88" s="829" t="s">
        <v>1562</v>
      </c>
      <c r="E88" s="4"/>
      <c r="F88" s="4"/>
      <c r="G88" s="4"/>
      <c r="H88" s="4"/>
      <c r="I88" s="4"/>
      <c r="J88" s="4"/>
      <c r="K88" s="4"/>
    </row>
    <row r="89" spans="2:11" ht="37.5">
      <c r="B89" s="1033"/>
      <c r="C89" s="890"/>
      <c r="D89" s="829" t="s">
        <v>2042</v>
      </c>
      <c r="E89" s="4"/>
      <c r="F89" s="4"/>
      <c r="G89" s="4"/>
      <c r="H89" s="4"/>
      <c r="I89" s="4"/>
      <c r="J89" s="4"/>
      <c r="K89" s="4"/>
    </row>
    <row r="90" spans="2:11" ht="37.5">
      <c r="B90" s="1033"/>
      <c r="C90" s="890"/>
      <c r="D90" s="829" t="s">
        <v>2043</v>
      </c>
      <c r="E90" s="4"/>
      <c r="F90" s="4"/>
      <c r="G90" s="4"/>
      <c r="H90" s="4"/>
      <c r="I90" s="4"/>
      <c r="J90" s="4"/>
      <c r="K90" s="4"/>
    </row>
    <row r="91" spans="2:11" ht="49.5">
      <c r="B91" s="1033"/>
      <c r="C91" s="890"/>
      <c r="D91" s="829" t="s">
        <v>2044</v>
      </c>
      <c r="E91" s="4"/>
      <c r="F91" s="4"/>
      <c r="G91" s="4"/>
      <c r="H91" s="4"/>
      <c r="I91" s="4"/>
      <c r="J91" s="4"/>
      <c r="K91" s="4"/>
    </row>
    <row r="92" spans="2:11">
      <c r="B92" s="1033"/>
      <c r="C92" s="890"/>
      <c r="D92" s="836" t="s">
        <v>1726</v>
      </c>
      <c r="E92" s="4"/>
      <c r="F92" s="4"/>
      <c r="G92" s="4"/>
      <c r="H92" s="4"/>
      <c r="I92" s="4"/>
      <c r="J92" s="4"/>
      <c r="K92" s="4"/>
    </row>
    <row r="93" spans="2:11" ht="24">
      <c r="B93" s="1033"/>
      <c r="C93" s="890"/>
      <c r="D93" s="836" t="s">
        <v>2045</v>
      </c>
      <c r="E93" s="4"/>
      <c r="F93" s="4"/>
      <c r="G93" s="4"/>
      <c r="H93" s="4"/>
      <c r="I93" s="4"/>
      <c r="J93" s="4"/>
      <c r="K93" s="4"/>
    </row>
    <row r="94" spans="2:11">
      <c r="B94" s="1033"/>
      <c r="C94" s="890"/>
      <c r="D94" s="826"/>
      <c r="E94" s="4"/>
      <c r="F94" s="4"/>
      <c r="G94" s="4"/>
      <c r="H94" s="4"/>
      <c r="I94" s="4"/>
      <c r="J94" s="4"/>
      <c r="K94" s="4"/>
    </row>
    <row r="95" spans="2:11">
      <c r="B95" s="1033"/>
      <c r="C95" s="890"/>
      <c r="D95" s="829" t="s">
        <v>1562</v>
      </c>
      <c r="E95" s="4"/>
      <c r="F95" s="4"/>
      <c r="G95" s="4"/>
      <c r="H95" s="4"/>
      <c r="I95" s="4"/>
      <c r="J95" s="4"/>
      <c r="K95" s="4"/>
    </row>
    <row r="96" spans="2:11" ht="61.5">
      <c r="B96" s="1033"/>
      <c r="C96" s="890"/>
      <c r="D96" s="829" t="s">
        <v>2046</v>
      </c>
      <c r="E96" s="4"/>
      <c r="F96" s="4"/>
      <c r="G96" s="4"/>
      <c r="H96" s="4"/>
      <c r="I96" s="4"/>
      <c r="J96" s="4"/>
      <c r="K96" s="4"/>
    </row>
    <row r="97" spans="2:11" ht="38.25" thickBot="1">
      <c r="B97" s="1034"/>
      <c r="C97" s="857"/>
      <c r="D97" s="845" t="s">
        <v>2047</v>
      </c>
      <c r="E97" s="4"/>
      <c r="F97" s="4"/>
      <c r="G97" s="4"/>
      <c r="H97" s="4"/>
      <c r="I97" s="4"/>
      <c r="J97" s="4"/>
      <c r="K97" s="4"/>
    </row>
    <row r="98" spans="2:11">
      <c r="B98" s="4"/>
      <c r="D98" s="4"/>
      <c r="E98" s="4"/>
      <c r="F98" s="4"/>
      <c r="G98" s="4"/>
      <c r="H98" s="4"/>
      <c r="I98" s="4"/>
      <c r="J98" s="4"/>
      <c r="K98" s="4"/>
    </row>
    <row r="99" spans="2:11">
      <c r="B99" s="4"/>
      <c r="D99" s="4"/>
      <c r="E99" s="4"/>
      <c r="F99" s="4"/>
      <c r="G99" s="4"/>
      <c r="H99" s="4"/>
      <c r="I99" s="4"/>
      <c r="J99" s="4"/>
      <c r="K99" s="4"/>
    </row>
    <row r="100" spans="2:11">
      <c r="B100" s="4"/>
      <c r="D100" s="4"/>
      <c r="E100" s="4"/>
      <c r="F100" s="4"/>
      <c r="G100" s="4"/>
      <c r="H100" s="4"/>
      <c r="I100" s="4"/>
      <c r="J100" s="4"/>
      <c r="K100" s="4"/>
    </row>
    <row r="101" spans="2:11">
      <c r="B101" s="4"/>
      <c r="D101" s="4"/>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row r="181" spans="2:11">
      <c r="B181" s="4"/>
      <c r="D181" s="4"/>
      <c r="E181" s="4"/>
      <c r="F181" s="4"/>
      <c r="G181" s="4"/>
      <c r="H181" s="4"/>
      <c r="I181" s="4"/>
      <c r="J181" s="4"/>
      <c r="K181" s="4"/>
    </row>
    <row r="182" spans="2:11">
      <c r="B182" s="4"/>
      <c r="D182" s="4"/>
      <c r="E182" s="4"/>
      <c r="F182" s="4"/>
      <c r="G182" s="4"/>
      <c r="H182" s="4"/>
      <c r="I182" s="4"/>
      <c r="J182" s="4"/>
      <c r="K182" s="4"/>
    </row>
    <row r="183" spans="2:11">
      <c r="B183" s="4"/>
      <c r="D183" s="4"/>
      <c r="E183" s="4"/>
      <c r="F183" s="4"/>
      <c r="G183" s="4"/>
      <c r="H183" s="4"/>
      <c r="I183" s="4"/>
      <c r="J183" s="4"/>
      <c r="K183" s="4"/>
    </row>
    <row r="184" spans="2:11">
      <c r="B184" s="4"/>
      <c r="D184" s="4"/>
      <c r="E184" s="4"/>
      <c r="F184" s="4"/>
      <c r="G184" s="4"/>
      <c r="H184" s="4"/>
      <c r="I184" s="4"/>
      <c r="J184" s="4"/>
      <c r="K184" s="4"/>
    </row>
    <row r="185" spans="2:11">
      <c r="B185" s="4"/>
      <c r="D185" s="4"/>
      <c r="E185" s="4"/>
      <c r="F185" s="4"/>
      <c r="G185" s="4"/>
      <c r="H185" s="4"/>
      <c r="I185" s="4"/>
      <c r="J185" s="4"/>
      <c r="K185" s="4"/>
    </row>
    <row r="186" spans="2:11">
      <c r="B186" s="4"/>
      <c r="D186" s="4"/>
      <c r="E186" s="4"/>
      <c r="F186" s="4"/>
      <c r="G186" s="4"/>
      <c r="H186" s="4"/>
      <c r="I186" s="4"/>
      <c r="J186" s="4"/>
      <c r="K186" s="4"/>
    </row>
    <row r="187" spans="2:11">
      <c r="B187" s="4"/>
      <c r="D187" s="4"/>
      <c r="E187" s="4"/>
      <c r="F187" s="4"/>
      <c r="G187" s="4"/>
      <c r="H187" s="4"/>
      <c r="I187" s="4"/>
      <c r="J187" s="4"/>
      <c r="K187" s="4"/>
    </row>
    <row r="188" spans="2:11">
      <c r="B188" s="4"/>
      <c r="D188" s="4"/>
      <c r="E188" s="4"/>
      <c r="F188" s="4"/>
      <c r="G188" s="4"/>
      <c r="H188" s="4"/>
      <c r="I188" s="4"/>
      <c r="J188" s="4"/>
      <c r="K188" s="4"/>
    </row>
    <row r="189" spans="2:11">
      <c r="B189" s="4"/>
      <c r="D189" s="4"/>
      <c r="E189" s="4"/>
      <c r="F189" s="4"/>
      <c r="G189" s="4"/>
      <c r="H189" s="4"/>
      <c r="I189" s="4"/>
      <c r="J189" s="4"/>
      <c r="K189" s="4"/>
    </row>
  </sheetData>
  <mergeCells count="37">
    <mergeCell ref="A1:P1"/>
    <mergeCell ref="A2:P2"/>
    <mergeCell ref="A3:P3"/>
    <mergeCell ref="A4:D4"/>
    <mergeCell ref="A5:P5"/>
    <mergeCell ref="B54:B60"/>
    <mergeCell ref="D41:L41"/>
    <mergeCell ref="D42:L42"/>
    <mergeCell ref="B44:E44"/>
    <mergeCell ref="B45:B51"/>
    <mergeCell ref="B53:E53"/>
    <mergeCell ref="D21:L21"/>
    <mergeCell ref="D22:L22"/>
    <mergeCell ref="D23:L23"/>
    <mergeCell ref="D24:L24"/>
    <mergeCell ref="J25:J26"/>
    <mergeCell ref="B15:B24"/>
    <mergeCell ref="L25:L26"/>
    <mergeCell ref="B67:G68"/>
    <mergeCell ref="B86:B97"/>
    <mergeCell ref="B71:D71"/>
    <mergeCell ref="B73:B78"/>
    <mergeCell ref="B79:B80"/>
    <mergeCell ref="D79:D80"/>
    <mergeCell ref="B81:B85"/>
    <mergeCell ref="C25:C26"/>
    <mergeCell ref="D25:D26"/>
    <mergeCell ref="E25:E26"/>
    <mergeCell ref="F25:F26"/>
    <mergeCell ref="G25:G26"/>
    <mergeCell ref="K25:K26"/>
    <mergeCell ref="D15:L15"/>
    <mergeCell ref="B10:D10"/>
    <mergeCell ref="F10:S10"/>
    <mergeCell ref="F11:S11"/>
    <mergeCell ref="E12:R12"/>
    <mergeCell ref="E13:R13"/>
  </mergeCells>
  <conditionalFormatting sqref="F10">
    <cfRule type="notContainsBlanks" dxfId="82" priority="4">
      <formula>LEN(TRIM(F10))&gt;0</formula>
    </cfRule>
  </conditionalFormatting>
  <conditionalFormatting sqref="F11:S11">
    <cfRule type="expression" dxfId="81" priority="2">
      <formula>E11="NO SE REPORTA"</formula>
    </cfRule>
    <cfRule type="expression" dxfId="80" priority="3">
      <formula>E10="NO APLICA"</formula>
    </cfRule>
  </conditionalFormatting>
  <conditionalFormatting sqref="E12:R12">
    <cfRule type="expression" dxfId="79"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7:F19" xr:uid="{00000000-0002-0000-1400-000000000000}">
      <formula1>0</formula1>
    </dataValidation>
    <dataValidation type="whole" operator="greaterThanOrEqual" allowBlank="1" showInputMessage="1" showErrorMessage="1" errorTitle="ERROR" error="Valor en PESOS (sin centavos)" sqref="H27:K39" xr:uid="{00000000-0002-0000-1400-000001000000}">
      <formula1>0</formula1>
    </dataValidation>
    <dataValidation type="list" allowBlank="1" showInputMessage="1" showErrorMessage="1" sqref="E11" xr:uid="{00000000-0002-0000-1400-000002000000}">
      <formula1>REPORTE</formula1>
    </dataValidation>
    <dataValidation type="list" allowBlank="1" showInputMessage="1" showErrorMessage="1" sqref="E10" xr:uid="{00000000-0002-0000-1400-000003000000}">
      <formula1>SI</formula1>
    </dataValidation>
  </dataValidations>
  <hyperlinks>
    <hyperlink ref="B9" location="'ANEXO 3'!A1" display="VOLVER AL INDICE" xr:uid="{00000000-0004-0000-1400-000000000000}"/>
    <hyperlink ref="E49" r:id="rId1" xr:uid="{00000000-0004-0000-1400-000001000000}"/>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79"/>
  <sheetViews>
    <sheetView showGridLines="0" topLeftCell="C7" zoomScale="98" zoomScaleNormal="98" workbookViewId="0">
      <selection activeCell="P21" sqref="P21"/>
    </sheetView>
  </sheetViews>
  <sheetFormatPr defaultColWidth="10.7109375" defaultRowHeight="15"/>
  <cols>
    <col min="1" max="1" width="1.85546875" style="241" customWidth="1"/>
    <col min="2" max="2" width="10.85546875" style="241" customWidth="1"/>
    <col min="3" max="3" width="5" style="63" bestFit="1" customWidth="1"/>
    <col min="4" max="4" width="34.85546875" style="241" customWidth="1"/>
    <col min="5" max="5" width="12.140625" style="241" customWidth="1"/>
    <col min="6" max="9" width="10.7109375" style="241"/>
    <col min="10" max="10" width="12.85546875" style="241" customWidth="1"/>
    <col min="11"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748</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1" t="s">
        <v>1440</v>
      </c>
      <c r="C8" s="164">
        <v>2020</v>
      </c>
      <c r="D8" s="169" t="str">
        <f>IF(E10="NO APLICA","NO APLICA",IF(E11="NO SE REPORTA","SIN INFORMACION",+Q22))</f>
        <v>N.A.</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2048</v>
      </c>
      <c r="F12" s="1056"/>
      <c r="G12" s="1056"/>
      <c r="H12" s="1056"/>
      <c r="I12" s="1056"/>
      <c r="J12" s="1056"/>
      <c r="K12" s="1056"/>
      <c r="L12" s="1056"/>
      <c r="M12" s="1056"/>
      <c r="N12" s="1056"/>
      <c r="O12" s="1056"/>
      <c r="P12" s="1056"/>
      <c r="Q12" s="1056"/>
      <c r="R12" s="1056"/>
    </row>
    <row r="13" spans="1:21" ht="48" customHeight="1">
      <c r="B13" s="300"/>
      <c r="C13" s="64"/>
      <c r="D13" s="132" t="s">
        <v>1447</v>
      </c>
      <c r="E13" s="1057" t="s">
        <v>2049</v>
      </c>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75" thickBot="1">
      <c r="B15" s="1134" t="s">
        <v>1449</v>
      </c>
      <c r="C15" s="74"/>
      <c r="D15" s="1041" t="s">
        <v>1816</v>
      </c>
      <c r="E15" s="1042"/>
      <c r="F15" s="1042"/>
      <c r="G15" s="1042"/>
      <c r="H15" s="1042"/>
      <c r="I15" s="1042"/>
      <c r="J15" s="1042"/>
      <c r="K15" s="1042"/>
      <c r="L15" s="1156"/>
      <c r="M15" s="1156"/>
      <c r="N15" s="1156"/>
      <c r="O15" s="1156"/>
      <c r="P15" s="1149"/>
      <c r="Q15" s="1150" t="s">
        <v>1604</v>
      </c>
    </row>
    <row r="16" spans="1:21" ht="15.75" thickBot="1">
      <c r="B16" s="1144"/>
      <c r="C16" s="78"/>
      <c r="D16" s="1011" t="s">
        <v>1603</v>
      </c>
      <c r="E16" s="1153" t="s">
        <v>2050</v>
      </c>
      <c r="F16" s="1154"/>
      <c r="G16" s="1154"/>
      <c r="H16" s="1154"/>
      <c r="I16" s="1154"/>
      <c r="J16" s="1155"/>
      <c r="K16" s="1153" t="s">
        <v>2051</v>
      </c>
      <c r="L16" s="1160"/>
      <c r="M16" s="1160"/>
      <c r="N16" s="1160"/>
      <c r="O16" s="1160"/>
      <c r="P16" s="1161"/>
      <c r="Q16" s="1162"/>
    </row>
    <row r="17" spans="2:17" ht="15.75" thickBot="1">
      <c r="B17" s="1144"/>
      <c r="C17" s="78"/>
      <c r="D17" s="1017"/>
      <c r="E17" s="1153" t="s">
        <v>2052</v>
      </c>
      <c r="F17" s="1154"/>
      <c r="G17" s="1155"/>
      <c r="H17" s="1153" t="s">
        <v>2053</v>
      </c>
      <c r="I17" s="1154"/>
      <c r="J17" s="1155"/>
      <c r="K17" s="1153" t="s">
        <v>2052</v>
      </c>
      <c r="L17" s="1160"/>
      <c r="M17" s="1161"/>
      <c r="N17" s="1165" t="s">
        <v>2053</v>
      </c>
      <c r="O17" s="1160"/>
      <c r="P17" s="1161"/>
      <c r="Q17" s="1162"/>
    </row>
    <row r="18" spans="2:17" ht="15.75" thickBot="1">
      <c r="B18" s="1144"/>
      <c r="C18" s="78"/>
      <c r="D18" s="1152"/>
      <c r="E18" s="845" t="s">
        <v>2054</v>
      </c>
      <c r="F18" s="845" t="s">
        <v>2055</v>
      </c>
      <c r="G18" s="845" t="s">
        <v>2056</v>
      </c>
      <c r="H18" s="845" t="s">
        <v>2054</v>
      </c>
      <c r="I18" s="845" t="s">
        <v>2055</v>
      </c>
      <c r="J18" s="845" t="s">
        <v>2056</v>
      </c>
      <c r="K18" s="845" t="s">
        <v>2054</v>
      </c>
      <c r="L18" s="866" t="s">
        <v>2055</v>
      </c>
      <c r="M18" s="866" t="s">
        <v>2056</v>
      </c>
      <c r="N18" s="866" t="s">
        <v>2054</v>
      </c>
      <c r="O18" s="866" t="s">
        <v>2055</v>
      </c>
      <c r="P18" s="866" t="s">
        <v>2056</v>
      </c>
      <c r="Q18" s="1151"/>
    </row>
    <row r="19" spans="2:17" ht="24.75" thickBot="1">
      <c r="B19" s="1144"/>
      <c r="C19" s="78"/>
      <c r="D19" s="845" t="s">
        <v>2057</v>
      </c>
      <c r="E19" s="5">
        <v>0</v>
      </c>
      <c r="F19" s="5">
        <v>2</v>
      </c>
      <c r="G19" s="5">
        <v>0</v>
      </c>
      <c r="H19" s="5">
        <v>3</v>
      </c>
      <c r="I19" s="5">
        <v>7</v>
      </c>
      <c r="J19" s="5">
        <v>6</v>
      </c>
      <c r="K19" s="5">
        <v>0</v>
      </c>
      <c r="L19" s="5">
        <v>0</v>
      </c>
      <c r="M19" s="5">
        <v>0</v>
      </c>
      <c r="N19" s="5">
        <v>1</v>
      </c>
      <c r="O19" s="5">
        <v>3</v>
      </c>
      <c r="P19" s="5">
        <v>8</v>
      </c>
      <c r="Q19" s="243">
        <f>SUM(E19:P19)</f>
        <v>30</v>
      </c>
    </row>
    <row r="20" spans="2:17" ht="36.75" thickBot="1">
      <c r="B20" s="1144"/>
      <c r="C20" s="78"/>
      <c r="D20" s="845" t="s">
        <v>2058</v>
      </c>
      <c r="E20" s="5">
        <v>0</v>
      </c>
      <c r="F20" s="5">
        <v>0</v>
      </c>
      <c r="G20" s="5">
        <v>0</v>
      </c>
      <c r="H20" s="5">
        <v>0</v>
      </c>
      <c r="I20" s="5">
        <v>0</v>
      </c>
      <c r="J20" s="5">
        <v>0</v>
      </c>
      <c r="K20" s="5">
        <v>0</v>
      </c>
      <c r="L20" s="5">
        <v>0</v>
      </c>
      <c r="M20" s="5">
        <v>0</v>
      </c>
      <c r="N20" s="5">
        <v>0</v>
      </c>
      <c r="O20" s="5">
        <v>0</v>
      </c>
      <c r="P20" s="5">
        <v>0</v>
      </c>
      <c r="Q20" s="243">
        <f>SUM(E20:P20)</f>
        <v>0</v>
      </c>
    </row>
    <row r="21" spans="2:17" ht="36.75" thickBot="1">
      <c r="B21" s="1144"/>
      <c r="C21" s="78"/>
      <c r="D21" s="845" t="s">
        <v>2059</v>
      </c>
      <c r="E21" s="5">
        <v>0</v>
      </c>
      <c r="F21" s="5">
        <v>0</v>
      </c>
      <c r="G21" s="5">
        <v>0</v>
      </c>
      <c r="H21" s="5">
        <v>0</v>
      </c>
      <c r="I21" s="5">
        <v>0</v>
      </c>
      <c r="J21" s="5">
        <v>0</v>
      </c>
      <c r="K21" s="5">
        <v>0</v>
      </c>
      <c r="L21" s="5">
        <v>0</v>
      </c>
      <c r="M21" s="5">
        <v>0</v>
      </c>
      <c r="N21" s="5">
        <v>0</v>
      </c>
      <c r="O21" s="5">
        <v>0</v>
      </c>
      <c r="P21" s="5">
        <v>0</v>
      </c>
      <c r="Q21" s="243">
        <f>SUM(E21:P21)</f>
        <v>0</v>
      </c>
    </row>
    <row r="22" spans="2:17" ht="36.75" thickBot="1">
      <c r="B22" s="1144"/>
      <c r="C22" s="78"/>
      <c r="D22" s="845" t="s">
        <v>748</v>
      </c>
      <c r="E22" s="99" t="str">
        <f>IFERROR(E21/E20,"N.A.")</f>
        <v>N.A.</v>
      </c>
      <c r="F22" s="99" t="str">
        <f t="shared" ref="F22:P22" si="0">IFERROR(F21/F20,"N.A.")</f>
        <v>N.A.</v>
      </c>
      <c r="G22" s="99" t="str">
        <f t="shared" si="0"/>
        <v>N.A.</v>
      </c>
      <c r="H22" s="99" t="str">
        <f t="shared" si="0"/>
        <v>N.A.</v>
      </c>
      <c r="I22" s="99" t="str">
        <f t="shared" si="0"/>
        <v>N.A.</v>
      </c>
      <c r="J22" s="99" t="str">
        <f t="shared" si="0"/>
        <v>N.A.</v>
      </c>
      <c r="K22" s="99" t="str">
        <f t="shared" si="0"/>
        <v>N.A.</v>
      </c>
      <c r="L22" s="99" t="str">
        <f t="shared" si="0"/>
        <v>N.A.</v>
      </c>
      <c r="M22" s="99" t="str">
        <f t="shared" si="0"/>
        <v>N.A.</v>
      </c>
      <c r="N22" s="99" t="str">
        <f t="shared" si="0"/>
        <v>N.A.</v>
      </c>
      <c r="O22" s="99" t="str">
        <f t="shared" si="0"/>
        <v>N.A.</v>
      </c>
      <c r="P22" s="99" t="str">
        <f t="shared" si="0"/>
        <v>N.A.</v>
      </c>
      <c r="Q22" s="99" t="str">
        <f>IFERROR(Q21/Q20,"N.A.")</f>
        <v>N.A.</v>
      </c>
    </row>
    <row r="23" spans="2:17">
      <c r="B23" s="1144"/>
      <c r="C23" s="75"/>
      <c r="D23" s="1009" t="s">
        <v>2060</v>
      </c>
      <c r="E23" s="1010"/>
      <c r="F23" s="1010"/>
      <c r="G23" s="1010"/>
      <c r="H23" s="1010"/>
      <c r="I23" s="1010"/>
      <c r="J23" s="1010"/>
      <c r="K23" s="1010"/>
      <c r="L23" s="1157"/>
      <c r="M23" s="1157"/>
      <c r="N23" s="1157"/>
      <c r="O23" s="1157"/>
      <c r="P23" s="1145"/>
    </row>
    <row r="24" spans="2:17">
      <c r="B24" s="1144"/>
      <c r="C24" s="75"/>
      <c r="D24" s="1015" t="s">
        <v>2061</v>
      </c>
      <c r="E24" s="1016"/>
      <c r="F24" s="1016"/>
      <c r="G24" s="1016"/>
      <c r="H24" s="1016"/>
      <c r="I24" s="1016"/>
      <c r="J24" s="1016"/>
      <c r="K24" s="1016"/>
      <c r="L24" s="1158"/>
      <c r="M24" s="1158"/>
      <c r="N24" s="1158"/>
      <c r="O24" s="1158"/>
      <c r="P24" s="1146"/>
    </row>
    <row r="25" spans="2:17">
      <c r="B25" s="1144"/>
      <c r="C25" s="75"/>
      <c r="D25" s="1015" t="s">
        <v>2062</v>
      </c>
      <c r="E25" s="1016"/>
      <c r="F25" s="1016"/>
      <c r="G25" s="1016"/>
      <c r="H25" s="1016"/>
      <c r="I25" s="1016"/>
      <c r="J25" s="1016"/>
      <c r="K25" s="1016"/>
      <c r="L25" s="1158"/>
      <c r="M25" s="1158"/>
      <c r="N25" s="1158"/>
      <c r="O25" s="1158"/>
      <c r="P25" s="1146"/>
    </row>
    <row r="26" spans="2:17">
      <c r="B26" s="1144"/>
      <c r="C26" s="75"/>
      <c r="D26" s="1012" t="s">
        <v>1726</v>
      </c>
      <c r="E26" s="1013"/>
      <c r="F26" s="1013"/>
      <c r="G26" s="1013"/>
      <c r="H26" s="1013"/>
      <c r="I26" s="1013"/>
      <c r="J26" s="1013"/>
      <c r="K26" s="1013"/>
      <c r="L26" s="1159"/>
      <c r="M26" s="1159"/>
      <c r="N26" s="1159"/>
      <c r="O26" s="1159"/>
      <c r="P26" s="1147"/>
    </row>
    <row r="27" spans="2:17">
      <c r="B27" s="1144"/>
      <c r="C27" s="75"/>
      <c r="D27" s="1012" t="s">
        <v>2063</v>
      </c>
      <c r="E27" s="1013"/>
      <c r="F27" s="1013"/>
      <c r="G27" s="1013"/>
      <c r="H27" s="1013"/>
      <c r="I27" s="1013"/>
      <c r="J27" s="1013"/>
      <c r="K27" s="1013"/>
      <c r="L27" s="1159"/>
      <c r="M27" s="1159"/>
      <c r="N27" s="1159"/>
      <c r="O27" s="1159"/>
      <c r="P27" s="1147"/>
    </row>
    <row r="28" spans="2:17" ht="15.75" thickBot="1">
      <c r="B28" s="1144"/>
      <c r="C28" s="75"/>
      <c r="D28" s="1015" t="s">
        <v>1823</v>
      </c>
      <c r="E28" s="1016"/>
      <c r="F28" s="1016"/>
      <c r="G28" s="1016"/>
      <c r="H28" s="1016"/>
      <c r="I28" s="1016"/>
      <c r="J28" s="1016"/>
      <c r="K28" s="1016"/>
      <c r="L28" s="1158"/>
      <c r="M28" s="1158"/>
      <c r="N28" s="1158"/>
      <c r="O28" s="1158"/>
      <c r="P28" s="1146"/>
    </row>
    <row r="29" spans="2:17" ht="21" customHeight="1">
      <c r="B29" s="1144"/>
      <c r="C29" s="1089" t="s">
        <v>1402</v>
      </c>
      <c r="D29" s="1150" t="s">
        <v>1728</v>
      </c>
      <c r="E29" s="1150" t="s">
        <v>2064</v>
      </c>
      <c r="F29" s="1150" t="s">
        <v>2065</v>
      </c>
      <c r="G29" s="1150" t="s">
        <v>2066</v>
      </c>
      <c r="H29" s="882" t="s">
        <v>2012</v>
      </c>
      <c r="I29" s="882" t="s">
        <v>2013</v>
      </c>
      <c r="J29" s="1150" t="s">
        <v>1732</v>
      </c>
      <c r="K29" s="1150" t="s">
        <v>1733</v>
      </c>
      <c r="L29" s="1150" t="s">
        <v>1406</v>
      </c>
      <c r="P29" s="11"/>
    </row>
    <row r="30" spans="2:17" ht="15.75" thickBot="1">
      <c r="B30" s="1144"/>
      <c r="C30" s="1090"/>
      <c r="D30" s="1151"/>
      <c r="E30" s="1151"/>
      <c r="F30" s="1151"/>
      <c r="G30" s="1151"/>
      <c r="H30" s="883" t="s">
        <v>2014</v>
      </c>
      <c r="I30" s="883" t="s">
        <v>2015</v>
      </c>
      <c r="J30" s="1151"/>
      <c r="K30" s="1151"/>
      <c r="L30" s="1151"/>
      <c r="P30" s="11"/>
    </row>
    <row r="31" spans="2:17" ht="108.75" thickBot="1">
      <c r="B31" s="1144"/>
      <c r="C31" s="223"/>
      <c r="D31" s="24" t="s">
        <v>2067</v>
      </c>
      <c r="E31" s="24" t="s">
        <v>2068</v>
      </c>
      <c r="F31" s="24" t="s">
        <v>2069</v>
      </c>
      <c r="G31" s="24"/>
      <c r="H31" s="144">
        <v>220000000</v>
      </c>
      <c r="I31" s="144"/>
      <c r="J31" s="144">
        <v>220000000</v>
      </c>
      <c r="K31" s="144"/>
      <c r="L31" s="144" t="s">
        <v>2070</v>
      </c>
      <c r="P31" s="11"/>
    </row>
    <row r="32" spans="2:17" ht="15.75" thickBot="1">
      <c r="B32" s="1144"/>
      <c r="C32" s="223"/>
      <c r="D32" s="24"/>
      <c r="E32" s="24"/>
      <c r="F32" s="24"/>
      <c r="G32" s="24"/>
      <c r="H32" s="144"/>
      <c r="I32" s="144"/>
      <c r="J32" s="144"/>
      <c r="K32" s="144"/>
      <c r="L32" s="144"/>
      <c r="P32" s="11"/>
    </row>
    <row r="33" spans="2:16" ht="15.75" thickBot="1">
      <c r="B33" s="1144"/>
      <c r="C33" s="223"/>
      <c r="D33" s="24"/>
      <c r="E33" s="24"/>
      <c r="F33" s="24"/>
      <c r="G33" s="24"/>
      <c r="H33" s="144"/>
      <c r="I33" s="144"/>
      <c r="J33" s="144"/>
      <c r="K33" s="144"/>
      <c r="L33" s="144"/>
      <c r="P33" s="11"/>
    </row>
    <row r="34" spans="2:16" ht="15.75" thickBot="1">
      <c r="B34" s="1144"/>
      <c r="C34" s="223"/>
      <c r="D34" s="24"/>
      <c r="E34" s="24"/>
      <c r="F34" s="24"/>
      <c r="G34" s="24"/>
      <c r="H34" s="144"/>
      <c r="I34" s="144"/>
      <c r="J34" s="144"/>
      <c r="K34" s="144"/>
      <c r="L34" s="144"/>
      <c r="P34" s="11"/>
    </row>
    <row r="35" spans="2:16" ht="15.75" thickBot="1">
      <c r="B35" s="1144"/>
      <c r="C35" s="223"/>
      <c r="D35" s="24"/>
      <c r="E35" s="24"/>
      <c r="F35" s="24"/>
      <c r="G35" s="24"/>
      <c r="H35" s="144"/>
      <c r="I35" s="144"/>
      <c r="J35" s="144"/>
      <c r="K35" s="144"/>
      <c r="L35" s="144"/>
      <c r="P35" s="11"/>
    </row>
    <row r="36" spans="2:16" ht="15.75" thickBot="1">
      <c r="B36" s="1144"/>
      <c r="C36" s="223"/>
      <c r="D36" s="24"/>
      <c r="E36" s="24"/>
      <c r="F36" s="24"/>
      <c r="G36" s="24"/>
      <c r="H36" s="144"/>
      <c r="I36" s="144"/>
      <c r="J36" s="144"/>
      <c r="K36" s="144"/>
      <c r="L36" s="144"/>
      <c r="P36" s="11"/>
    </row>
    <row r="37" spans="2:16" ht="15.75" thickBot="1">
      <c r="B37" s="1144"/>
      <c r="C37" s="223"/>
      <c r="D37" s="24"/>
      <c r="E37" s="24"/>
      <c r="F37" s="24"/>
      <c r="G37" s="24"/>
      <c r="H37" s="144"/>
      <c r="I37" s="144"/>
      <c r="J37" s="144"/>
      <c r="K37" s="144"/>
      <c r="L37" s="144"/>
      <c r="P37" s="11"/>
    </row>
    <row r="38" spans="2:16" ht="15.75" thickBot="1">
      <c r="B38" s="1144"/>
      <c r="C38" s="223"/>
      <c r="D38" s="24"/>
      <c r="E38" s="24"/>
      <c r="F38" s="24"/>
      <c r="G38" s="24"/>
      <c r="H38" s="144"/>
      <c r="I38" s="144"/>
      <c r="J38" s="144"/>
      <c r="K38" s="144"/>
      <c r="L38" s="144"/>
      <c r="P38" s="11"/>
    </row>
    <row r="39" spans="2:16" ht="15.75" thickBot="1">
      <c r="B39" s="1144"/>
      <c r="C39" s="223"/>
      <c r="D39" s="24"/>
      <c r="E39" s="24"/>
      <c r="F39" s="24"/>
      <c r="G39" s="24"/>
      <c r="H39" s="144"/>
      <c r="I39" s="144"/>
      <c r="J39" s="144"/>
      <c r="K39" s="144"/>
      <c r="L39" s="144"/>
      <c r="P39" s="11"/>
    </row>
    <row r="40" spans="2:16" ht="15.75" thickBot="1">
      <c r="B40" s="1135"/>
      <c r="C40" s="79"/>
      <c r="D40" s="32" t="s">
        <v>1604</v>
      </c>
      <c r="E40" s="21"/>
      <c r="F40" s="21"/>
      <c r="G40" s="21"/>
      <c r="H40" s="97">
        <f>SUM(H31:H39)</f>
        <v>220000000</v>
      </c>
      <c r="I40" s="97">
        <f>SUM(I31:I39)</f>
        <v>0</v>
      </c>
      <c r="J40" s="97">
        <f>SUM(J31:J39)</f>
        <v>220000000</v>
      </c>
      <c r="K40" s="97">
        <f>SUM(K31:K39)</f>
        <v>0</v>
      </c>
      <c r="L40" s="144"/>
      <c r="M40" s="12"/>
      <c r="N40" s="12"/>
      <c r="P40" s="8"/>
    </row>
    <row r="41" spans="2:16" ht="24" customHeight="1" thickBot="1">
      <c r="B41" s="867" t="s">
        <v>1504</v>
      </c>
      <c r="C41" s="77"/>
      <c r="D41" s="1041" t="s">
        <v>2071</v>
      </c>
      <c r="E41" s="1042"/>
      <c r="F41" s="1042"/>
      <c r="G41" s="1042"/>
      <c r="H41" s="1042"/>
      <c r="I41" s="1042"/>
      <c r="J41" s="1042"/>
      <c r="K41" s="1042"/>
      <c r="L41" s="1156"/>
      <c r="M41" s="1156"/>
      <c r="N41" s="1156"/>
      <c r="O41" s="1156"/>
      <c r="P41" s="1149"/>
    </row>
    <row r="42" spans="2:16" ht="23.25" thickBot="1">
      <c r="B42" s="867" t="s">
        <v>1506</v>
      </c>
      <c r="C42" s="77"/>
      <c r="D42" s="1041" t="s">
        <v>1831</v>
      </c>
      <c r="E42" s="1042"/>
      <c r="F42" s="1042"/>
      <c r="G42" s="1042"/>
      <c r="H42" s="1042"/>
      <c r="I42" s="1042"/>
      <c r="J42" s="1042"/>
      <c r="K42" s="1042"/>
      <c r="L42" s="1156"/>
      <c r="M42" s="1156"/>
      <c r="N42" s="1156"/>
      <c r="O42" s="1156"/>
      <c r="P42" s="1149"/>
    </row>
    <row r="43" spans="2:16" ht="15.75" thickBot="1">
      <c r="B43" s="1"/>
      <c r="C43" s="55"/>
      <c r="D43" s="4"/>
      <c r="E43" s="4"/>
      <c r="F43" s="4"/>
      <c r="G43" s="4"/>
      <c r="H43" s="4"/>
      <c r="I43" s="4"/>
      <c r="J43" s="4"/>
      <c r="K43" s="4"/>
    </row>
    <row r="44" spans="2:16" ht="24" customHeight="1" thickBot="1">
      <c r="B44" s="1029" t="s">
        <v>1508</v>
      </c>
      <c r="C44" s="1030"/>
      <c r="D44" s="1030"/>
      <c r="E44" s="1031"/>
      <c r="F44" s="4"/>
      <c r="G44" s="4"/>
      <c r="H44" s="4"/>
      <c r="I44" s="4"/>
      <c r="J44" s="4"/>
      <c r="K44" s="4"/>
    </row>
    <row r="45" spans="2:16" ht="15.75" thickBot="1">
      <c r="B45" s="1032">
        <v>1</v>
      </c>
      <c r="C45" s="890"/>
      <c r="D45" s="37" t="s">
        <v>1509</v>
      </c>
      <c r="E45" s="25" t="s">
        <v>1510</v>
      </c>
      <c r="F45" s="4"/>
      <c r="G45" s="4"/>
      <c r="H45" s="4"/>
      <c r="I45" s="4"/>
      <c r="J45" s="4"/>
      <c r="K45" s="4"/>
    </row>
    <row r="46" spans="2:16" ht="36.75" thickBot="1">
      <c r="B46" s="1033"/>
      <c r="C46" s="890"/>
      <c r="D46" s="845" t="s">
        <v>10</v>
      </c>
      <c r="E46" s="24" t="s">
        <v>2072</v>
      </c>
      <c r="F46" s="4"/>
      <c r="G46" s="4"/>
      <c r="H46" s="4"/>
      <c r="I46" s="4"/>
      <c r="J46" s="4"/>
      <c r="K46" s="4"/>
    </row>
    <row r="47" spans="2:16" ht="24.75" thickBot="1">
      <c r="B47" s="1033"/>
      <c r="C47" s="890"/>
      <c r="D47" s="845" t="s">
        <v>1512</v>
      </c>
      <c r="E47" s="24" t="s">
        <v>1691</v>
      </c>
      <c r="F47" s="4"/>
      <c r="G47" s="4"/>
      <c r="H47" s="4"/>
      <c r="I47" s="4"/>
      <c r="J47" s="4"/>
      <c r="K47" s="4"/>
    </row>
    <row r="48" spans="2:16" ht="15.75" thickBot="1">
      <c r="B48" s="1033"/>
      <c r="C48" s="890"/>
      <c r="D48" s="845" t="s">
        <v>13</v>
      </c>
      <c r="E48" s="25" t="s">
        <v>2073</v>
      </c>
      <c r="F48" s="4"/>
      <c r="G48" s="4"/>
      <c r="H48" s="4"/>
      <c r="I48" s="4"/>
      <c r="J48" s="4"/>
      <c r="K48" s="4"/>
    </row>
    <row r="49" spans="2:11" ht="45.75" thickBot="1">
      <c r="B49" s="1033"/>
      <c r="C49" s="890"/>
      <c r="D49" s="845" t="s">
        <v>16</v>
      </c>
      <c r="E49" s="704" t="s">
        <v>1646</v>
      </c>
      <c r="F49" s="4"/>
      <c r="G49" s="4"/>
      <c r="H49" s="4"/>
      <c r="I49" s="4"/>
      <c r="J49" s="4"/>
      <c r="K49" s="4"/>
    </row>
    <row r="50" spans="2:11" ht="24.75" thickBot="1">
      <c r="B50" s="1033"/>
      <c r="C50" s="890"/>
      <c r="D50" s="845" t="s">
        <v>19</v>
      </c>
      <c r="E50" s="24" t="s">
        <v>1647</v>
      </c>
      <c r="F50" s="4"/>
      <c r="G50" s="4"/>
      <c r="H50" s="4"/>
      <c r="I50" s="4"/>
      <c r="J50" s="4"/>
      <c r="K50" s="4"/>
    </row>
    <row r="51" spans="2:11" ht="24.75" thickBot="1">
      <c r="B51" s="1034"/>
      <c r="C51" s="857"/>
      <c r="D51" s="845" t="s">
        <v>1516</v>
      </c>
      <c r="E51" s="24" t="s">
        <v>1517</v>
      </c>
      <c r="F51" s="4"/>
      <c r="G51" s="4"/>
      <c r="H51" s="4"/>
      <c r="I51" s="4"/>
      <c r="J51" s="4"/>
      <c r="K51" s="4"/>
    </row>
    <row r="52" spans="2:11" ht="15.75" thickBot="1">
      <c r="B52" s="1"/>
      <c r="C52" s="55"/>
      <c r="D52" s="4"/>
      <c r="E52" s="4"/>
      <c r="F52" s="4"/>
      <c r="G52" s="4"/>
      <c r="H52" s="4"/>
      <c r="I52" s="4"/>
      <c r="J52" s="4"/>
      <c r="K52" s="4"/>
    </row>
    <row r="53" spans="2:11" ht="15.75" thickBot="1">
      <c r="B53" s="1029" t="s">
        <v>1518</v>
      </c>
      <c r="C53" s="1030"/>
      <c r="D53" s="1030"/>
      <c r="E53" s="1031"/>
      <c r="F53" s="4"/>
      <c r="G53" s="4"/>
      <c r="H53" s="4"/>
      <c r="I53" s="4"/>
      <c r="J53" s="4"/>
      <c r="K53" s="4"/>
    </row>
    <row r="54" spans="2:11" ht="15.75" thickBot="1">
      <c r="B54" s="1032">
        <v>1</v>
      </c>
      <c r="C54" s="890"/>
      <c r="D54" s="37" t="s">
        <v>1509</v>
      </c>
      <c r="E54" s="299" t="s">
        <v>2074</v>
      </c>
      <c r="F54" s="4"/>
      <c r="G54" s="4"/>
      <c r="H54" s="4"/>
      <c r="I54" s="4"/>
      <c r="J54" s="4"/>
      <c r="K54" s="4"/>
    </row>
    <row r="55" spans="2:11" ht="15.75" thickBot="1">
      <c r="B55" s="1033"/>
      <c r="C55" s="890"/>
      <c r="D55" s="845" t="s">
        <v>10</v>
      </c>
      <c r="E55" s="299" t="s">
        <v>1520</v>
      </c>
      <c r="F55" s="4"/>
      <c r="G55" s="4"/>
      <c r="H55" s="4"/>
      <c r="I55" s="4"/>
      <c r="J55" s="4"/>
      <c r="K55" s="4"/>
    </row>
    <row r="56" spans="2:11" ht="15.75" thickBot="1">
      <c r="B56" s="1033"/>
      <c r="C56" s="890"/>
      <c r="D56" s="845" t="s">
        <v>1512</v>
      </c>
      <c r="E56" s="211"/>
      <c r="F56" s="4"/>
      <c r="G56" s="4"/>
      <c r="H56" s="4"/>
      <c r="I56" s="4"/>
      <c r="J56" s="4"/>
      <c r="K56" s="4"/>
    </row>
    <row r="57" spans="2:11" ht="15.75" thickBot="1">
      <c r="B57" s="1033"/>
      <c r="C57" s="890"/>
      <c r="D57" s="845" t="s">
        <v>13</v>
      </c>
      <c r="E57" s="211"/>
      <c r="F57" s="4"/>
      <c r="G57" s="4"/>
      <c r="H57" s="4"/>
      <c r="I57" s="4"/>
      <c r="J57" s="4"/>
      <c r="K57" s="4"/>
    </row>
    <row r="58" spans="2:11" ht="15.75" thickBot="1">
      <c r="B58" s="1033"/>
      <c r="C58" s="890"/>
      <c r="D58" s="845" t="s">
        <v>16</v>
      </c>
      <c r="E58" s="211"/>
      <c r="F58" s="4"/>
      <c r="G58" s="4"/>
      <c r="H58" s="4"/>
      <c r="I58" s="4"/>
      <c r="J58" s="4"/>
      <c r="K58" s="4"/>
    </row>
    <row r="59" spans="2:11" ht="15.75" thickBot="1">
      <c r="B59" s="1033"/>
      <c r="C59" s="890"/>
      <c r="D59" s="845" t="s">
        <v>19</v>
      </c>
      <c r="E59" s="211"/>
      <c r="F59" s="4"/>
      <c r="G59" s="4"/>
      <c r="H59" s="4"/>
      <c r="I59" s="4"/>
      <c r="J59" s="4"/>
      <c r="K59" s="4"/>
    </row>
    <row r="60" spans="2:11" ht="15.75" thickBot="1">
      <c r="B60" s="1034"/>
      <c r="C60" s="857"/>
      <c r="D60" s="845" t="s">
        <v>1516</v>
      </c>
      <c r="E60" s="211"/>
      <c r="F60" s="4"/>
      <c r="G60" s="4"/>
      <c r="H60" s="4"/>
      <c r="I60" s="4"/>
      <c r="J60" s="4"/>
      <c r="K60" s="4"/>
    </row>
    <row r="61" spans="2:11">
      <c r="B61" s="1"/>
      <c r="C61" s="55"/>
      <c r="D61" s="4"/>
      <c r="E61" s="4"/>
      <c r="F61" s="4"/>
      <c r="G61" s="4"/>
      <c r="H61" s="4"/>
      <c r="I61" s="4"/>
      <c r="J61" s="4"/>
      <c r="K61" s="4"/>
    </row>
    <row r="62" spans="2:11" ht="15.75" thickBot="1">
      <c r="B62" s="1"/>
      <c r="C62" s="55"/>
      <c r="D62" s="4"/>
      <c r="E62" s="4"/>
      <c r="F62" s="4"/>
      <c r="G62" s="4"/>
      <c r="H62" s="4"/>
      <c r="I62" s="4"/>
      <c r="J62" s="4"/>
      <c r="K62" s="4"/>
    </row>
    <row r="63" spans="2:11" ht="15.75" thickBot="1">
      <c r="B63" s="1029" t="s">
        <v>1521</v>
      </c>
      <c r="C63" s="1030"/>
      <c r="D63" s="1030"/>
      <c r="E63" s="1030"/>
      <c r="F63" s="1031"/>
      <c r="G63" s="4"/>
      <c r="H63" s="4"/>
      <c r="I63" s="4"/>
      <c r="J63" s="4"/>
      <c r="K63" s="4"/>
    </row>
    <row r="64" spans="2:11" ht="24.75" thickBot="1">
      <c r="B64" s="839" t="s">
        <v>1522</v>
      </c>
      <c r="C64" s="845" t="s">
        <v>1523</v>
      </c>
      <c r="D64" s="845" t="s">
        <v>1524</v>
      </c>
      <c r="E64" s="845" t="s">
        <v>1525</v>
      </c>
      <c r="F64" s="4"/>
      <c r="G64" s="4"/>
      <c r="H64" s="4"/>
      <c r="I64" s="4"/>
      <c r="J64" s="4"/>
    </row>
    <row r="65" spans="2:11" ht="72.75" thickBot="1">
      <c r="B65" s="38">
        <v>42401</v>
      </c>
      <c r="C65" s="845">
        <v>0.01</v>
      </c>
      <c r="D65" s="837" t="s">
        <v>2075</v>
      </c>
      <c r="E65" s="845"/>
      <c r="F65" s="4"/>
      <c r="G65" s="4"/>
      <c r="H65" s="4"/>
      <c r="I65" s="4"/>
      <c r="J65" s="4"/>
    </row>
    <row r="66" spans="2:11" ht="15.75" thickBot="1">
      <c r="B66" s="2"/>
      <c r="C66" s="70"/>
      <c r="D66" s="4"/>
      <c r="E66" s="4"/>
      <c r="F66" s="4"/>
      <c r="G66" s="4"/>
      <c r="H66" s="4"/>
      <c r="I66" s="4"/>
      <c r="J66" s="4"/>
      <c r="K66" s="4"/>
    </row>
    <row r="67" spans="2:11" ht="24.75" thickBot="1">
      <c r="B67" s="3" t="s">
        <v>1406</v>
      </c>
      <c r="C67" s="705"/>
      <c r="D67" s="4"/>
      <c r="E67" s="4"/>
      <c r="F67" s="4"/>
      <c r="G67" s="4"/>
      <c r="H67" s="4"/>
      <c r="I67" s="4"/>
      <c r="J67" s="4"/>
      <c r="K67" s="4"/>
    </row>
    <row r="68" spans="2:11" s="93" customFormat="1">
      <c r="B68" s="1098" t="s">
        <v>2076</v>
      </c>
      <c r="C68" s="1099"/>
      <c r="D68" s="1099"/>
      <c r="E68" s="1099"/>
      <c r="F68" s="1099"/>
      <c r="G68" s="1099"/>
      <c r="H68" s="92"/>
      <c r="I68" s="92"/>
      <c r="J68" s="92"/>
      <c r="K68" s="92"/>
    </row>
    <row r="69" spans="2:11" s="93" customFormat="1">
      <c r="B69" s="1098" t="s">
        <v>2077</v>
      </c>
      <c r="C69" s="1099"/>
      <c r="D69" s="1099"/>
      <c r="E69" s="1099"/>
      <c r="F69" s="1099"/>
      <c r="G69" s="1099"/>
      <c r="H69" s="92"/>
      <c r="I69" s="92"/>
      <c r="J69" s="92"/>
      <c r="K69" s="92"/>
    </row>
    <row r="70" spans="2:11" s="93" customFormat="1" ht="35.450000000000003" customHeight="1">
      <c r="B70" s="1163"/>
      <c r="C70" s="1164"/>
      <c r="D70" s="1164"/>
      <c r="E70" s="1164"/>
      <c r="F70" s="1164"/>
      <c r="G70" s="1164"/>
      <c r="H70" s="92"/>
      <c r="I70" s="92"/>
      <c r="J70" s="92"/>
      <c r="K70" s="92"/>
    </row>
    <row r="71" spans="2:11" ht="15.75" thickBot="1">
      <c r="B71" s="1"/>
      <c r="C71" s="55"/>
      <c r="D71" s="4"/>
      <c r="E71" s="4"/>
      <c r="F71" s="4"/>
      <c r="G71" s="4"/>
      <c r="H71" s="4"/>
      <c r="I71" s="4"/>
      <c r="J71" s="4"/>
      <c r="K71" s="4"/>
    </row>
    <row r="72" spans="2:11" ht="24.75" thickBot="1">
      <c r="B72" s="39" t="s">
        <v>1527</v>
      </c>
      <c r="C72" s="708"/>
      <c r="D72" s="4"/>
      <c r="E72" s="4"/>
      <c r="F72" s="4"/>
      <c r="G72" s="4"/>
      <c r="H72" s="4"/>
      <c r="I72" s="4"/>
      <c r="J72" s="4"/>
      <c r="K72" s="4"/>
    </row>
    <row r="73" spans="2:11" ht="15.75" thickBot="1">
      <c r="B73" s="31"/>
      <c r="C73" s="64"/>
      <c r="D73" s="4"/>
      <c r="E73" s="4"/>
      <c r="F73" s="4"/>
      <c r="G73" s="4"/>
      <c r="H73" s="4"/>
      <c r="I73" s="4"/>
      <c r="J73" s="4"/>
      <c r="K73" s="4"/>
    </row>
    <row r="74" spans="2:11" ht="84.75" thickBot="1">
      <c r="B74" s="40" t="s">
        <v>1528</v>
      </c>
      <c r="C74" s="878"/>
      <c r="D74" s="842" t="s">
        <v>2078</v>
      </c>
      <c r="E74" s="4"/>
      <c r="F74" s="4"/>
      <c r="G74" s="4"/>
      <c r="H74" s="4"/>
      <c r="I74" s="4"/>
      <c r="J74" s="4"/>
      <c r="K74" s="4"/>
    </row>
    <row r="75" spans="2:11">
      <c r="B75" s="1032" t="s">
        <v>1530</v>
      </c>
      <c r="C75" s="890"/>
      <c r="D75" s="836" t="s">
        <v>1531</v>
      </c>
      <c r="E75" s="4"/>
      <c r="F75" s="4"/>
      <c r="G75" s="4"/>
      <c r="H75" s="4"/>
      <c r="I75" s="4"/>
      <c r="J75" s="4"/>
      <c r="K75" s="4"/>
    </row>
    <row r="76" spans="2:11" ht="120">
      <c r="B76" s="1033"/>
      <c r="C76" s="890"/>
      <c r="D76" s="829" t="s">
        <v>2079</v>
      </c>
      <c r="E76" s="4"/>
      <c r="F76" s="4"/>
      <c r="G76" s="4"/>
      <c r="H76" s="4"/>
      <c r="I76" s="4"/>
      <c r="J76" s="4"/>
      <c r="K76" s="4"/>
    </row>
    <row r="77" spans="2:11">
      <c r="B77" s="1033"/>
      <c r="C77" s="890"/>
      <c r="D77" s="836" t="s">
        <v>1534</v>
      </c>
      <c r="E77" s="4"/>
      <c r="F77" s="4"/>
      <c r="G77" s="4"/>
      <c r="H77" s="4"/>
      <c r="I77" s="4"/>
      <c r="J77" s="4"/>
      <c r="K77" s="4"/>
    </row>
    <row r="78" spans="2:11" ht="72">
      <c r="B78" s="1033"/>
      <c r="C78" s="890"/>
      <c r="D78" s="829" t="s">
        <v>2080</v>
      </c>
      <c r="E78" s="4"/>
      <c r="F78" s="4"/>
      <c r="G78" s="4"/>
      <c r="H78" s="4"/>
      <c r="I78" s="4"/>
      <c r="J78" s="4"/>
      <c r="K78" s="4"/>
    </row>
    <row r="79" spans="2:11">
      <c r="B79" s="1033"/>
      <c r="C79" s="890"/>
      <c r="D79" s="829" t="s">
        <v>1536</v>
      </c>
      <c r="E79" s="4"/>
      <c r="F79" s="4"/>
      <c r="G79" s="4"/>
      <c r="H79" s="4"/>
      <c r="I79" s="4"/>
      <c r="J79" s="4"/>
      <c r="K79" s="4"/>
    </row>
    <row r="80" spans="2:11">
      <c r="B80" s="1033"/>
      <c r="C80" s="890"/>
      <c r="D80" s="829" t="s">
        <v>2081</v>
      </c>
      <c r="E80" s="4"/>
      <c r="F80" s="4"/>
      <c r="G80" s="4"/>
      <c r="H80" s="4"/>
      <c r="I80" s="4"/>
      <c r="J80" s="4"/>
      <c r="K80" s="4"/>
    </row>
    <row r="81" spans="2:11">
      <c r="B81" s="1033"/>
      <c r="C81" s="890"/>
      <c r="D81" s="829" t="s">
        <v>2082</v>
      </c>
      <c r="E81" s="4"/>
      <c r="F81" s="4"/>
      <c r="G81" s="4"/>
      <c r="H81" s="4"/>
      <c r="I81" s="4"/>
      <c r="J81" s="4"/>
      <c r="K81" s="4"/>
    </row>
    <row r="82" spans="2:11">
      <c r="B82" s="1033"/>
      <c r="C82" s="890"/>
      <c r="D82" s="836" t="s">
        <v>1797</v>
      </c>
      <c r="E82" s="4"/>
      <c r="F82" s="4"/>
      <c r="G82" s="4"/>
      <c r="H82" s="4"/>
      <c r="I82" s="4"/>
      <c r="J82" s="4"/>
      <c r="K82" s="4"/>
    </row>
    <row r="83" spans="2:11" ht="36.75" thickBot="1">
      <c r="B83" s="1034"/>
      <c r="C83" s="857"/>
      <c r="D83" s="845" t="s">
        <v>2038</v>
      </c>
      <c r="E83" s="4"/>
      <c r="F83" s="4"/>
      <c r="G83" s="4"/>
      <c r="H83" s="4"/>
      <c r="I83" s="4"/>
      <c r="J83" s="4"/>
      <c r="K83" s="4"/>
    </row>
    <row r="84" spans="2:11" ht="24.75" thickBot="1">
      <c r="B84" s="839" t="s">
        <v>1543</v>
      </c>
      <c r="C84" s="857"/>
      <c r="D84" s="845"/>
      <c r="E84" s="4"/>
      <c r="F84" s="4"/>
      <c r="G84" s="4"/>
      <c r="H84" s="4"/>
      <c r="I84" s="4"/>
      <c r="J84" s="4"/>
      <c r="K84" s="4"/>
    </row>
    <row r="85" spans="2:11" ht="48">
      <c r="B85" s="1032" t="s">
        <v>1544</v>
      </c>
      <c r="C85" s="890"/>
      <c r="D85" s="829" t="s">
        <v>2083</v>
      </c>
      <c r="E85" s="4"/>
      <c r="F85" s="4"/>
      <c r="G85" s="4"/>
      <c r="H85" s="4"/>
      <c r="I85" s="4"/>
      <c r="J85" s="4"/>
      <c r="K85" s="4"/>
    </row>
    <row r="86" spans="2:11" ht="60">
      <c r="B86" s="1033"/>
      <c r="C86" s="890"/>
      <c r="D86" s="851" t="s">
        <v>2084</v>
      </c>
      <c r="E86" s="4"/>
      <c r="F86" s="4"/>
      <c r="G86" s="4"/>
      <c r="H86" s="4"/>
      <c r="I86" s="4"/>
      <c r="J86" s="4"/>
      <c r="K86" s="4"/>
    </row>
    <row r="87" spans="2:11" ht="36">
      <c r="B87" s="1033"/>
      <c r="C87" s="890"/>
      <c r="D87" s="851" t="s">
        <v>2085</v>
      </c>
      <c r="E87" s="4"/>
      <c r="F87" s="4"/>
      <c r="G87" s="4"/>
      <c r="H87" s="4"/>
      <c r="I87" s="4"/>
      <c r="J87" s="4"/>
      <c r="K87" s="4"/>
    </row>
    <row r="88" spans="2:11" ht="48">
      <c r="B88" s="1033"/>
      <c r="C88" s="890"/>
      <c r="D88" s="851" t="s">
        <v>2086</v>
      </c>
      <c r="E88" s="4"/>
      <c r="F88" s="4"/>
      <c r="G88" s="4"/>
      <c r="H88" s="4"/>
      <c r="I88" s="4"/>
      <c r="J88" s="4"/>
      <c r="K88" s="4"/>
    </row>
    <row r="89" spans="2:11" ht="36">
      <c r="B89" s="1033"/>
      <c r="C89" s="890"/>
      <c r="D89" s="851" t="s">
        <v>2087</v>
      </c>
      <c r="E89" s="4"/>
      <c r="F89" s="4"/>
      <c r="G89" s="4"/>
      <c r="H89" s="4"/>
      <c r="I89" s="4"/>
      <c r="J89" s="4"/>
      <c r="K89" s="4"/>
    </row>
    <row r="90" spans="2:11" ht="96">
      <c r="B90" s="1033"/>
      <c r="C90" s="890"/>
      <c r="D90" s="829" t="s">
        <v>2088</v>
      </c>
      <c r="E90" s="4"/>
      <c r="F90" s="4"/>
      <c r="G90" s="4"/>
      <c r="H90" s="4"/>
      <c r="I90" s="4"/>
      <c r="J90" s="4"/>
      <c r="K90" s="4"/>
    </row>
    <row r="91" spans="2:11" ht="48">
      <c r="B91" s="1033"/>
      <c r="C91" s="890"/>
      <c r="D91" s="829" t="s">
        <v>2089</v>
      </c>
      <c r="E91" s="4"/>
      <c r="F91" s="4"/>
      <c r="G91" s="4"/>
      <c r="H91" s="4"/>
      <c r="I91" s="4"/>
      <c r="J91" s="4"/>
      <c r="K91" s="4"/>
    </row>
    <row r="92" spans="2:11" ht="36">
      <c r="B92" s="1033"/>
      <c r="C92" s="890"/>
      <c r="D92" s="829" t="s">
        <v>2090</v>
      </c>
      <c r="E92" s="4"/>
      <c r="F92" s="4"/>
      <c r="G92" s="4"/>
      <c r="H92" s="4"/>
      <c r="I92" s="4"/>
      <c r="J92" s="4"/>
      <c r="K92" s="4"/>
    </row>
    <row r="93" spans="2:11" ht="36">
      <c r="B93" s="1033"/>
      <c r="C93" s="890"/>
      <c r="D93" s="829" t="s">
        <v>2091</v>
      </c>
      <c r="E93" s="4"/>
      <c r="F93" s="4"/>
      <c r="G93" s="4"/>
      <c r="H93" s="4"/>
      <c r="I93" s="4"/>
      <c r="J93" s="4"/>
      <c r="K93" s="4"/>
    </row>
    <row r="94" spans="2:11" ht="96.75" thickBot="1">
      <c r="B94" s="1034"/>
      <c r="C94" s="857"/>
      <c r="D94" s="845" t="s">
        <v>2092</v>
      </c>
      <c r="E94" s="4"/>
      <c r="F94" s="4"/>
      <c r="G94" s="4"/>
      <c r="H94" s="4"/>
      <c r="I94" s="4"/>
      <c r="J94" s="4"/>
      <c r="K94" s="4"/>
    </row>
    <row r="95" spans="2:11" ht="24">
      <c r="B95" s="1032" t="s">
        <v>1561</v>
      </c>
      <c r="C95" s="890"/>
      <c r="D95" s="836" t="s">
        <v>2093</v>
      </c>
      <c r="E95" s="4"/>
      <c r="F95" s="4"/>
      <c r="G95" s="4"/>
      <c r="H95" s="4"/>
      <c r="I95" s="4"/>
      <c r="J95" s="4"/>
      <c r="K95" s="4"/>
    </row>
    <row r="96" spans="2:11">
      <c r="B96" s="1033"/>
      <c r="C96" s="890"/>
      <c r="D96" s="829" t="s">
        <v>2094</v>
      </c>
      <c r="E96" s="4"/>
      <c r="F96" s="4"/>
      <c r="G96" s="4"/>
      <c r="H96" s="4"/>
      <c r="I96" s="4"/>
      <c r="J96" s="4"/>
      <c r="K96" s="4"/>
    </row>
    <row r="97" spans="2:11">
      <c r="B97" s="1033"/>
      <c r="C97" s="890"/>
      <c r="D97" s="829" t="s">
        <v>1562</v>
      </c>
      <c r="E97" s="4"/>
      <c r="F97" s="4"/>
      <c r="G97" s="4"/>
      <c r="H97" s="4"/>
      <c r="I97" s="4"/>
      <c r="J97" s="4"/>
      <c r="K97" s="4"/>
    </row>
    <row r="98" spans="2:11" ht="49.5">
      <c r="B98" s="1033"/>
      <c r="C98" s="890"/>
      <c r="D98" s="829" t="s">
        <v>2095</v>
      </c>
      <c r="E98" s="4"/>
      <c r="F98" s="4"/>
      <c r="G98" s="4"/>
      <c r="H98" s="4"/>
      <c r="I98" s="4"/>
      <c r="J98" s="4"/>
      <c r="K98" s="4"/>
    </row>
    <row r="99" spans="2:11" ht="49.5">
      <c r="B99" s="1033"/>
      <c r="C99" s="890"/>
      <c r="D99" s="829" t="s">
        <v>2096</v>
      </c>
      <c r="E99" s="4"/>
      <c r="F99" s="4"/>
      <c r="G99" s="4"/>
      <c r="H99" s="4"/>
      <c r="I99" s="4"/>
      <c r="J99" s="4"/>
      <c r="K99" s="4"/>
    </row>
    <row r="100" spans="2:11" ht="49.5">
      <c r="B100" s="1033"/>
      <c r="C100" s="890"/>
      <c r="D100" s="829" t="s">
        <v>2097</v>
      </c>
      <c r="E100" s="4"/>
      <c r="F100" s="4"/>
      <c r="G100" s="4"/>
      <c r="H100" s="4"/>
      <c r="I100" s="4"/>
      <c r="J100" s="4"/>
      <c r="K100" s="4"/>
    </row>
    <row r="101" spans="2:11">
      <c r="B101" s="1033"/>
      <c r="C101" s="890"/>
      <c r="D101" s="836" t="s">
        <v>1726</v>
      </c>
      <c r="E101" s="4"/>
      <c r="F101" s="4"/>
      <c r="G101" s="4"/>
      <c r="H101" s="4"/>
      <c r="I101" s="4"/>
      <c r="J101" s="4"/>
      <c r="K101" s="4"/>
    </row>
    <row r="102" spans="2:11" ht="36">
      <c r="B102" s="1033"/>
      <c r="C102" s="890"/>
      <c r="D102" s="836" t="s">
        <v>2098</v>
      </c>
      <c r="E102" s="4"/>
      <c r="F102" s="4"/>
      <c r="G102" s="4"/>
      <c r="H102" s="4"/>
      <c r="I102" s="4"/>
      <c r="J102" s="4"/>
      <c r="K102" s="4"/>
    </row>
    <row r="103" spans="2:11">
      <c r="B103" s="1033"/>
      <c r="C103" s="890"/>
      <c r="D103" s="826"/>
      <c r="E103" s="4"/>
      <c r="F103" s="4"/>
      <c r="G103" s="4"/>
      <c r="H103" s="4"/>
      <c r="I103" s="4"/>
      <c r="J103" s="4"/>
      <c r="K103" s="4"/>
    </row>
    <row r="104" spans="2:11">
      <c r="B104" s="1033"/>
      <c r="C104" s="890"/>
      <c r="D104" s="829" t="s">
        <v>1562</v>
      </c>
      <c r="E104" s="4"/>
      <c r="F104" s="4"/>
      <c r="G104" s="4"/>
      <c r="H104" s="4"/>
      <c r="I104" s="4"/>
      <c r="J104" s="4"/>
      <c r="K104" s="4"/>
    </row>
    <row r="105" spans="2:11" ht="49.5">
      <c r="B105" s="1033"/>
      <c r="C105" s="890"/>
      <c r="D105" s="829" t="s">
        <v>2099</v>
      </c>
      <c r="E105" s="4"/>
      <c r="F105" s="4"/>
      <c r="G105" s="4"/>
      <c r="H105" s="4"/>
      <c r="I105" s="4"/>
      <c r="J105" s="4"/>
      <c r="K105" s="4"/>
    </row>
    <row r="106" spans="2:11" ht="50.25" thickBot="1">
      <c r="B106" s="1034"/>
      <c r="C106" s="857"/>
      <c r="D106" s="845" t="s">
        <v>2100</v>
      </c>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sheetData>
  <mergeCells count="47">
    <mergeCell ref="A1:P1"/>
    <mergeCell ref="A2:P2"/>
    <mergeCell ref="A3:P3"/>
    <mergeCell ref="A4:D4"/>
    <mergeCell ref="A5:P5"/>
    <mergeCell ref="Q15:Q18"/>
    <mergeCell ref="B75:B83"/>
    <mergeCell ref="B85:B94"/>
    <mergeCell ref="B70:G70"/>
    <mergeCell ref="B45:B51"/>
    <mergeCell ref="B53:E53"/>
    <mergeCell ref="B54:B60"/>
    <mergeCell ref="K17:M17"/>
    <mergeCell ref="N17:P17"/>
    <mergeCell ref="K29:K30"/>
    <mergeCell ref="D42:P42"/>
    <mergeCell ref="B44:E44"/>
    <mergeCell ref="D27:P27"/>
    <mergeCell ref="D28:P28"/>
    <mergeCell ref="C29:C30"/>
    <mergeCell ref="D29:D30"/>
    <mergeCell ref="B95:B106"/>
    <mergeCell ref="D16:D18"/>
    <mergeCell ref="E16:J16"/>
    <mergeCell ref="E17:G17"/>
    <mergeCell ref="H17:J17"/>
    <mergeCell ref="B15:B40"/>
    <mergeCell ref="D15:P15"/>
    <mergeCell ref="D23:P23"/>
    <mergeCell ref="D24:P24"/>
    <mergeCell ref="D25:P25"/>
    <mergeCell ref="D26:P26"/>
    <mergeCell ref="K16:P16"/>
    <mergeCell ref="B63:F63"/>
    <mergeCell ref="D41:P41"/>
    <mergeCell ref="B68:G68"/>
    <mergeCell ref="B69:G69"/>
    <mergeCell ref="E29:E30"/>
    <mergeCell ref="F29:F30"/>
    <mergeCell ref="G29:G30"/>
    <mergeCell ref="J29:J30"/>
    <mergeCell ref="L29:L30"/>
    <mergeCell ref="B10:D10"/>
    <mergeCell ref="F10:S10"/>
    <mergeCell ref="F11:S11"/>
    <mergeCell ref="E12:R12"/>
    <mergeCell ref="E13:R13"/>
  </mergeCells>
  <conditionalFormatting sqref="F10">
    <cfRule type="notContainsBlanks" dxfId="78" priority="4">
      <formula>LEN(TRIM(F10))&gt;0</formula>
    </cfRule>
  </conditionalFormatting>
  <conditionalFormatting sqref="F11:S11">
    <cfRule type="expression" dxfId="77" priority="2">
      <formula>E11="NO SE REPORTA"</formula>
    </cfRule>
    <cfRule type="expression" dxfId="76" priority="3">
      <formula>E10="NO APLICA"</formula>
    </cfRule>
  </conditionalFormatting>
  <conditionalFormatting sqref="E12:R12">
    <cfRule type="expression" dxfId="7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xr:uid="{00000000-0002-0000-1500-000000000000}">
      <formula1>0</formula1>
    </dataValidation>
    <dataValidation type="whole" operator="greaterThanOrEqual" allowBlank="1" showInputMessage="1" showErrorMessage="1" errorTitle="ERROR" error="Valor en PESOS (sin centavos)" sqref="H31:K39" xr:uid="{00000000-0002-0000-1500-000001000000}">
      <formula1>0</formula1>
    </dataValidation>
    <dataValidation type="list" allowBlank="1" showInputMessage="1" showErrorMessage="1" sqref="E11" xr:uid="{00000000-0002-0000-1500-000002000000}">
      <formula1>REPORTE</formula1>
    </dataValidation>
    <dataValidation type="list" allowBlank="1" showInputMessage="1" showErrorMessage="1" sqref="E10" xr:uid="{00000000-0002-0000-1500-000003000000}">
      <formula1>SI</formula1>
    </dataValidation>
  </dataValidations>
  <hyperlinks>
    <hyperlink ref="B9" location="'ANEXO 3'!A1" display="VOLVER AL INDICE" xr:uid="{00000000-0004-0000-1500-000000000000}"/>
    <hyperlink ref="E49" r:id="rId1" xr:uid="{00000000-0004-0000-1500-000001000000}"/>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180"/>
  <sheetViews>
    <sheetView showGridLines="0" topLeftCell="A4" zoomScale="98" zoomScaleNormal="98" workbookViewId="0">
      <selection activeCell="K21" sqref="K21"/>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749</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t="str">
        <f>IF(E10="NO APLICA","NO APLICA",IF(E11="NO SE REPORTA","SIN INFORMACION",+K21))</f>
        <v>N.A.</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2048</v>
      </c>
      <c r="F12" s="1056"/>
      <c r="G12" s="1056"/>
      <c r="H12" s="1056"/>
      <c r="I12" s="1056"/>
      <c r="J12" s="1056"/>
      <c r="K12" s="1056"/>
      <c r="L12" s="1056"/>
      <c r="M12" s="1056"/>
      <c r="N12" s="1056"/>
      <c r="O12" s="1056"/>
      <c r="P12" s="1056"/>
      <c r="Q12" s="1056"/>
      <c r="R12" s="1056"/>
    </row>
    <row r="13" spans="1:21" ht="50.25" customHeight="1">
      <c r="B13" s="300"/>
      <c r="C13" s="64"/>
      <c r="D13" s="132" t="s">
        <v>1447</v>
      </c>
      <c r="E13" s="1057" t="s">
        <v>2101</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75" thickBot="1">
      <c r="B15" s="1134" t="s">
        <v>1449</v>
      </c>
      <c r="C15" s="74"/>
      <c r="D15" s="1009" t="s">
        <v>1816</v>
      </c>
      <c r="E15" s="1010"/>
      <c r="F15" s="1010"/>
      <c r="G15" s="1010"/>
      <c r="H15" s="1010"/>
      <c r="I15" s="1010"/>
      <c r="J15" s="1010"/>
      <c r="K15" s="1010"/>
      <c r="L15" s="1145"/>
    </row>
    <row r="16" spans="1:21" ht="15.75" thickBot="1">
      <c r="B16" s="1144"/>
      <c r="C16" s="78"/>
      <c r="D16" s="1011"/>
      <c r="E16" s="1041" t="s">
        <v>2102</v>
      </c>
      <c r="F16" s="1042"/>
      <c r="G16" s="1043"/>
      <c r="H16" s="1041" t="s">
        <v>2103</v>
      </c>
      <c r="I16" s="1042"/>
      <c r="J16" s="1043"/>
      <c r="K16" s="1032" t="s">
        <v>2005</v>
      </c>
      <c r="L16" s="11"/>
    </row>
    <row r="17" spans="2:12" ht="15.75" thickBot="1">
      <c r="B17" s="1144"/>
      <c r="C17" s="78"/>
      <c r="D17" s="1046"/>
      <c r="E17" s="49" t="s">
        <v>2052</v>
      </c>
      <c r="F17" s="49" t="s">
        <v>2053</v>
      </c>
      <c r="G17" s="49" t="s">
        <v>2104</v>
      </c>
      <c r="H17" s="49" t="s">
        <v>2052</v>
      </c>
      <c r="I17" s="49" t="s">
        <v>2053</v>
      </c>
      <c r="J17" s="49" t="s">
        <v>2104</v>
      </c>
      <c r="K17" s="1034"/>
      <c r="L17" s="11"/>
    </row>
    <row r="18" spans="2:12" ht="24.75" thickBot="1">
      <c r="B18" s="1144"/>
      <c r="C18" s="78"/>
      <c r="D18" s="845" t="s">
        <v>2105</v>
      </c>
      <c r="E18" s="5">
        <v>0</v>
      </c>
      <c r="F18" s="5">
        <v>0</v>
      </c>
      <c r="G18" s="34">
        <f>+E18+F18</f>
        <v>0</v>
      </c>
      <c r="H18" s="5">
        <v>0</v>
      </c>
      <c r="I18" s="5">
        <v>0</v>
      </c>
      <c r="J18" s="34">
        <f>+H18+I18</f>
        <v>0</v>
      </c>
      <c r="K18" s="34">
        <f>+G18+J18</f>
        <v>0</v>
      </c>
      <c r="L18" s="11"/>
    </row>
    <row r="19" spans="2:12" ht="36.75" thickBot="1">
      <c r="B19" s="1144"/>
      <c r="C19" s="78"/>
      <c r="D19" s="845" t="s">
        <v>2106</v>
      </c>
      <c r="E19" s="5">
        <v>0</v>
      </c>
      <c r="F19" s="5">
        <v>0</v>
      </c>
      <c r="G19" s="34">
        <f>+E19+F19</f>
        <v>0</v>
      </c>
      <c r="H19" s="5">
        <v>0</v>
      </c>
      <c r="I19" s="5">
        <v>0</v>
      </c>
      <c r="J19" s="34">
        <f>+H19+I19</f>
        <v>0</v>
      </c>
      <c r="K19" s="34">
        <f>+G19+J19</f>
        <v>0</v>
      </c>
      <c r="L19" s="11"/>
    </row>
    <row r="20" spans="2:12" ht="36.75" thickBot="1">
      <c r="B20" s="1144"/>
      <c r="C20" s="78"/>
      <c r="D20" s="845" t="s">
        <v>229</v>
      </c>
      <c r="E20" s="5">
        <v>0</v>
      </c>
      <c r="F20" s="5">
        <v>0</v>
      </c>
      <c r="G20" s="34">
        <f>+E20+F20</f>
        <v>0</v>
      </c>
      <c r="H20" s="5">
        <v>0</v>
      </c>
      <c r="I20" s="5">
        <v>0</v>
      </c>
      <c r="J20" s="34">
        <f>+H20+I20</f>
        <v>0</v>
      </c>
      <c r="K20" s="34">
        <f>+G20+J20</f>
        <v>0</v>
      </c>
      <c r="L20" s="11"/>
    </row>
    <row r="21" spans="2:12" ht="36.75" thickBot="1">
      <c r="B21" s="1144"/>
      <c r="C21" s="78"/>
      <c r="D21" s="845" t="s">
        <v>749</v>
      </c>
      <c r="E21" s="143" t="str">
        <f>IFERROR(E20/E19,"N.A.")</f>
        <v>N.A.</v>
      </c>
      <c r="F21" s="143" t="str">
        <f t="shared" ref="F21:K21" si="0">IFERROR(F20/F19,"N.A.")</f>
        <v>N.A.</v>
      </c>
      <c r="G21" s="143" t="str">
        <f t="shared" si="0"/>
        <v>N.A.</v>
      </c>
      <c r="H21" s="143" t="str">
        <f t="shared" si="0"/>
        <v>N.A.</v>
      </c>
      <c r="I21" s="143" t="str">
        <f t="shared" si="0"/>
        <v>N.A.</v>
      </c>
      <c r="J21" s="99" t="str">
        <f t="shared" si="0"/>
        <v>N.A.</v>
      </c>
      <c r="K21" s="99" t="str">
        <f t="shared" si="0"/>
        <v>N.A.</v>
      </c>
      <c r="L21" s="11"/>
    </row>
    <row r="22" spans="2:12">
      <c r="B22" s="1144"/>
      <c r="C22" s="75"/>
      <c r="D22" s="1015"/>
      <c r="E22" s="1016"/>
      <c r="F22" s="1016"/>
      <c r="G22" s="1016"/>
      <c r="H22" s="1016"/>
      <c r="I22" s="1016"/>
      <c r="J22" s="1016"/>
      <c r="K22" s="1016"/>
      <c r="L22" s="1146"/>
    </row>
    <row r="23" spans="2:12">
      <c r="B23" s="1144"/>
      <c r="C23" s="75"/>
      <c r="D23" s="1012" t="s">
        <v>1726</v>
      </c>
      <c r="E23" s="1013"/>
      <c r="F23" s="1013"/>
      <c r="G23" s="1013"/>
      <c r="H23" s="1013"/>
      <c r="I23" s="1013"/>
      <c r="J23" s="1013"/>
      <c r="K23" s="1013"/>
      <c r="L23" s="1147"/>
    </row>
    <row r="24" spans="2:12">
      <c r="B24" s="1144"/>
      <c r="C24" s="75"/>
      <c r="D24" s="1012" t="s">
        <v>2107</v>
      </c>
      <c r="E24" s="1013"/>
      <c r="F24" s="1013"/>
      <c r="G24" s="1013"/>
      <c r="H24" s="1013"/>
      <c r="I24" s="1013"/>
      <c r="J24" s="1013"/>
      <c r="K24" s="1013"/>
      <c r="L24" s="1147"/>
    </row>
    <row r="25" spans="2:12" ht="15.75" thickBot="1">
      <c r="B25" s="1144"/>
      <c r="C25" s="75"/>
      <c r="D25" s="1044" t="s">
        <v>1823</v>
      </c>
      <c r="E25" s="1045"/>
      <c r="F25" s="1045"/>
      <c r="G25" s="1045"/>
      <c r="H25" s="1045"/>
      <c r="I25" s="1045"/>
      <c r="J25" s="1045"/>
      <c r="K25" s="1045"/>
      <c r="L25" s="1148"/>
    </row>
    <row r="26" spans="2:12" ht="21" customHeight="1">
      <c r="B26" s="1144"/>
      <c r="C26" s="1089" t="s">
        <v>1402</v>
      </c>
      <c r="D26" s="1150" t="s">
        <v>1728</v>
      </c>
      <c r="E26" s="1172" t="s">
        <v>2064</v>
      </c>
      <c r="F26" s="1172" t="s">
        <v>2065</v>
      </c>
      <c r="G26" s="1172" t="s">
        <v>2066</v>
      </c>
      <c r="H26" s="156" t="s">
        <v>2012</v>
      </c>
      <c r="I26" s="156" t="s">
        <v>2013</v>
      </c>
      <c r="J26" s="1172" t="s">
        <v>1732</v>
      </c>
      <c r="K26" s="1172" t="s">
        <v>1733</v>
      </c>
      <c r="L26" s="1172" t="s">
        <v>1406</v>
      </c>
    </row>
    <row r="27" spans="2:12" ht="15.75" thickBot="1">
      <c r="B27" s="1144"/>
      <c r="C27" s="1090"/>
      <c r="D27" s="1162"/>
      <c r="E27" s="1173"/>
      <c r="F27" s="1173"/>
      <c r="G27" s="1173"/>
      <c r="H27" s="157" t="s">
        <v>2014</v>
      </c>
      <c r="I27" s="157" t="s">
        <v>2015</v>
      </c>
      <c r="J27" s="1173"/>
      <c r="K27" s="1173"/>
      <c r="L27" s="1173"/>
    </row>
    <row r="28" spans="2:12" ht="109.5" thickBot="1">
      <c r="B28" s="1144"/>
      <c r="C28" s="744"/>
      <c r="D28" s="745" t="s">
        <v>2067</v>
      </c>
      <c r="E28" s="25"/>
      <c r="F28" s="25"/>
      <c r="G28" s="25" t="s">
        <v>154</v>
      </c>
      <c r="H28" s="161">
        <v>220000000</v>
      </c>
      <c r="I28" s="161">
        <v>220000000</v>
      </c>
      <c r="J28" s="161">
        <v>220000000</v>
      </c>
      <c r="K28" s="161"/>
      <c r="L28" s="144" t="s">
        <v>2108</v>
      </c>
    </row>
    <row r="29" spans="2:12" ht="15.75" thickBot="1">
      <c r="B29" s="1144"/>
      <c r="C29" s="744"/>
      <c r="D29" s="742"/>
      <c r="E29" s="25"/>
      <c r="F29" s="25"/>
      <c r="G29" s="25"/>
      <c r="H29" s="161"/>
      <c r="I29" s="161"/>
      <c r="J29" s="161"/>
      <c r="K29" s="161"/>
      <c r="L29" s="161"/>
    </row>
    <row r="30" spans="2:12" ht="15.75" thickBot="1">
      <c r="B30" s="1144"/>
      <c r="C30" s="744"/>
      <c r="D30" s="225"/>
      <c r="E30" s="25"/>
      <c r="F30" s="25"/>
      <c r="G30" s="25"/>
      <c r="H30" s="161"/>
      <c r="I30" s="161"/>
      <c r="J30" s="161"/>
      <c r="K30" s="161"/>
      <c r="L30" s="161"/>
    </row>
    <row r="31" spans="2:12" ht="15.75" thickBot="1">
      <c r="B31" s="1144"/>
      <c r="C31" s="222"/>
      <c r="D31" s="25"/>
      <c r="E31" s="25"/>
      <c r="F31" s="25"/>
      <c r="G31" s="25"/>
      <c r="H31" s="161"/>
      <c r="I31" s="161"/>
      <c r="J31" s="161"/>
      <c r="K31" s="161"/>
      <c r="L31" s="161"/>
    </row>
    <row r="32" spans="2:12" ht="15.75" thickBot="1">
      <c r="B32" s="1144"/>
      <c r="C32" s="222"/>
      <c r="D32" s="25"/>
      <c r="E32" s="25"/>
      <c r="F32" s="25"/>
      <c r="G32" s="25"/>
      <c r="H32" s="161"/>
      <c r="I32" s="161"/>
      <c r="J32" s="161"/>
      <c r="K32" s="161"/>
      <c r="L32" s="161"/>
    </row>
    <row r="33" spans="2:12" ht="15.75" thickBot="1">
      <c r="B33" s="1144"/>
      <c r="C33" s="222"/>
      <c r="D33" s="25"/>
      <c r="E33" s="25"/>
      <c r="F33" s="25"/>
      <c r="G33" s="25"/>
      <c r="H33" s="161"/>
      <c r="I33" s="161"/>
      <c r="J33" s="161"/>
      <c r="K33" s="161"/>
      <c r="L33" s="161"/>
    </row>
    <row r="34" spans="2:12" ht="15.75" thickBot="1">
      <c r="B34" s="1144"/>
      <c r="C34" s="222"/>
      <c r="D34" s="25"/>
      <c r="E34" s="25"/>
      <c r="F34" s="25"/>
      <c r="G34" s="25"/>
      <c r="H34" s="161"/>
      <c r="I34" s="161"/>
      <c r="J34" s="161"/>
      <c r="K34" s="161"/>
      <c r="L34" s="161"/>
    </row>
    <row r="35" spans="2:12" ht="15.75" thickBot="1">
      <c r="B35" s="1144"/>
      <c r="C35" s="222"/>
      <c r="D35" s="25"/>
      <c r="E35" s="25"/>
      <c r="F35" s="25"/>
      <c r="G35" s="25"/>
      <c r="H35" s="161"/>
      <c r="I35" s="161"/>
      <c r="J35" s="161"/>
      <c r="K35" s="161"/>
      <c r="L35" s="161"/>
    </row>
    <row r="36" spans="2:12" ht="15.75" thickBot="1">
      <c r="B36" s="1144"/>
      <c r="C36" s="222"/>
      <c r="D36" s="25"/>
      <c r="E36" s="25"/>
      <c r="F36" s="25"/>
      <c r="G36" s="25"/>
      <c r="H36" s="161"/>
      <c r="I36" s="161"/>
      <c r="J36" s="161"/>
      <c r="K36" s="161"/>
      <c r="L36" s="161"/>
    </row>
    <row r="37" spans="2:12" ht="15.75" thickBot="1">
      <c r="B37" s="1135"/>
      <c r="C37" s="868"/>
      <c r="D37" s="21"/>
      <c r="E37" s="32" t="s">
        <v>1604</v>
      </c>
      <c r="F37" s="21"/>
      <c r="G37" s="21"/>
      <c r="H37" s="148">
        <f>SUM(H28:H36)</f>
        <v>220000000</v>
      </c>
      <c r="I37" s="148">
        <f>SUM(I28:I36)</f>
        <v>220000000</v>
      </c>
      <c r="J37" s="148">
        <f>SUM(J28:J36)</f>
        <v>220000000</v>
      </c>
      <c r="K37" s="148">
        <f>SUM(K28:K36)</f>
        <v>0</v>
      </c>
      <c r="L37" s="161"/>
    </row>
    <row r="38" spans="2:12" ht="36" customHeight="1" thickBot="1">
      <c r="B38" s="867" t="s">
        <v>1504</v>
      </c>
      <c r="C38" s="77"/>
      <c r="D38" s="1041" t="s">
        <v>2109</v>
      </c>
      <c r="E38" s="1042"/>
      <c r="F38" s="1042"/>
      <c r="G38" s="1042"/>
      <c r="H38" s="1042"/>
      <c r="I38" s="1042"/>
      <c r="J38" s="1042"/>
      <c r="K38" s="1042"/>
      <c r="L38" s="1149"/>
    </row>
    <row r="39" spans="2:12" ht="24" customHeight="1" thickBot="1">
      <c r="B39" s="867" t="s">
        <v>1506</v>
      </c>
      <c r="C39" s="77"/>
      <c r="D39" s="1041" t="s">
        <v>2110</v>
      </c>
      <c r="E39" s="1042"/>
      <c r="F39" s="1042"/>
      <c r="G39" s="1042"/>
      <c r="H39" s="1042"/>
      <c r="I39" s="1042"/>
      <c r="J39" s="1042"/>
      <c r="K39" s="1042"/>
      <c r="L39" s="1149"/>
    </row>
    <row r="40" spans="2:12" ht="15.75" thickBot="1">
      <c r="B40" s="1"/>
      <c r="C40" s="55"/>
      <c r="D40" s="4"/>
      <c r="E40" s="4"/>
      <c r="F40" s="4"/>
      <c r="G40" s="4"/>
      <c r="H40" s="4"/>
      <c r="I40" s="4"/>
      <c r="J40" s="4"/>
      <c r="K40" s="4"/>
    </row>
    <row r="41" spans="2:12" ht="24" customHeight="1" thickBot="1">
      <c r="B41" s="1029" t="s">
        <v>1508</v>
      </c>
      <c r="C41" s="1030"/>
      <c r="D41" s="1030"/>
      <c r="E41" s="1031"/>
      <c r="F41" s="4"/>
      <c r="G41" s="4"/>
      <c r="H41" s="4"/>
      <c r="I41" s="4"/>
      <c r="J41" s="4"/>
      <c r="K41" s="4"/>
    </row>
    <row r="42" spans="2:12" ht="15.75" thickBot="1">
      <c r="B42" s="1032">
        <v>1</v>
      </c>
      <c r="C42" s="890"/>
      <c r="D42" s="37" t="s">
        <v>1509</v>
      </c>
      <c r="E42" s="25" t="s">
        <v>1510</v>
      </c>
      <c r="F42" s="4"/>
      <c r="G42" s="4"/>
      <c r="H42" s="4"/>
      <c r="I42" s="4"/>
      <c r="J42" s="4"/>
      <c r="K42" s="4"/>
    </row>
    <row r="43" spans="2:12" ht="36.75" thickBot="1">
      <c r="B43" s="1033"/>
      <c r="C43" s="890"/>
      <c r="D43" s="845" t="s">
        <v>10</v>
      </c>
      <c r="E43" s="24" t="s">
        <v>1643</v>
      </c>
      <c r="F43" s="4"/>
      <c r="G43" s="4"/>
      <c r="H43" s="4"/>
      <c r="I43" s="4"/>
      <c r="J43" s="4"/>
      <c r="K43" s="4"/>
    </row>
    <row r="44" spans="2:12" ht="24.75" thickBot="1">
      <c r="B44" s="1033"/>
      <c r="C44" s="890"/>
      <c r="D44" s="845" t="s">
        <v>1512</v>
      </c>
      <c r="E44" s="24" t="s">
        <v>1691</v>
      </c>
      <c r="F44" s="4"/>
      <c r="G44" s="4"/>
      <c r="H44" s="4"/>
      <c r="I44" s="4"/>
      <c r="J44" s="4"/>
      <c r="K44" s="4"/>
    </row>
    <row r="45" spans="2:12" ht="15.75" thickBot="1">
      <c r="B45" s="1033"/>
      <c r="C45" s="890"/>
      <c r="D45" s="845" t="s">
        <v>13</v>
      </c>
      <c r="E45" s="24" t="s">
        <v>1514</v>
      </c>
      <c r="F45" s="4"/>
      <c r="G45" s="4"/>
      <c r="H45" s="4"/>
      <c r="I45" s="4"/>
      <c r="J45" s="4"/>
      <c r="K45" s="4"/>
    </row>
    <row r="46" spans="2:12" ht="45.75" thickBot="1">
      <c r="B46" s="1033"/>
      <c r="C46" s="890"/>
      <c r="D46" s="845" t="s">
        <v>16</v>
      </c>
      <c r="E46" s="704" t="s">
        <v>1646</v>
      </c>
      <c r="F46" s="4"/>
      <c r="G46" s="4"/>
      <c r="H46" s="4"/>
      <c r="I46" s="4"/>
      <c r="J46" s="4"/>
      <c r="K46" s="4"/>
    </row>
    <row r="47" spans="2:12" ht="24.75" thickBot="1">
      <c r="B47" s="1033"/>
      <c r="C47" s="890"/>
      <c r="D47" s="845" t="s">
        <v>19</v>
      </c>
      <c r="E47" s="24" t="s">
        <v>1647</v>
      </c>
      <c r="F47" s="4"/>
      <c r="G47" s="4"/>
      <c r="H47" s="4"/>
      <c r="I47" s="4"/>
      <c r="J47" s="4"/>
      <c r="K47" s="4"/>
    </row>
    <row r="48" spans="2:12" ht="24.75" thickBot="1">
      <c r="B48" s="1034"/>
      <c r="C48" s="857"/>
      <c r="D48" s="845" t="s">
        <v>1516</v>
      </c>
      <c r="E48" s="24" t="s">
        <v>1517</v>
      </c>
      <c r="F48" s="4"/>
      <c r="G48" s="4"/>
      <c r="H48" s="4"/>
      <c r="I48" s="4"/>
      <c r="J48" s="4"/>
      <c r="K48" s="4"/>
    </row>
    <row r="49" spans="2:11" ht="15.75" thickBot="1">
      <c r="B49" s="1"/>
      <c r="C49" s="55"/>
      <c r="D49" s="4"/>
      <c r="E49" s="4"/>
      <c r="F49" s="4"/>
      <c r="G49" s="4"/>
      <c r="H49" s="4"/>
      <c r="I49" s="4"/>
      <c r="J49" s="4"/>
      <c r="K49" s="4"/>
    </row>
    <row r="50" spans="2:11" ht="15.75" thickBot="1">
      <c r="B50" s="1029" t="s">
        <v>1518</v>
      </c>
      <c r="C50" s="1030"/>
      <c r="D50" s="1030"/>
      <c r="E50" s="1031"/>
      <c r="F50" s="4"/>
      <c r="G50" s="4"/>
      <c r="H50" s="4"/>
      <c r="I50" s="4"/>
      <c r="J50" s="4"/>
      <c r="K50" s="4"/>
    </row>
    <row r="51" spans="2:11" ht="15.75" thickBot="1">
      <c r="B51" s="1032">
        <v>1</v>
      </c>
      <c r="C51" s="890"/>
      <c r="D51" s="37" t="s">
        <v>1509</v>
      </c>
      <c r="E51" s="299" t="s">
        <v>1519</v>
      </c>
      <c r="F51" s="4"/>
      <c r="G51" s="4"/>
      <c r="H51" s="4"/>
      <c r="I51" s="4"/>
      <c r="J51" s="4"/>
      <c r="K51" s="4"/>
    </row>
    <row r="52" spans="2:11" ht="15.75" thickBot="1">
      <c r="B52" s="1033"/>
      <c r="C52" s="890"/>
      <c r="D52" s="845" t="s">
        <v>10</v>
      </c>
      <c r="E52" s="299" t="s">
        <v>1520</v>
      </c>
      <c r="F52" s="4"/>
      <c r="G52" s="4"/>
      <c r="H52" s="4"/>
      <c r="I52" s="4"/>
      <c r="J52" s="4"/>
      <c r="K52" s="4"/>
    </row>
    <row r="53" spans="2:11" ht="15.75" thickBot="1">
      <c r="B53" s="1033"/>
      <c r="C53" s="890"/>
      <c r="D53" s="845" t="s">
        <v>1512</v>
      </c>
      <c r="E53" s="211"/>
      <c r="F53" s="4"/>
      <c r="G53" s="4"/>
      <c r="H53" s="4"/>
      <c r="I53" s="4"/>
      <c r="J53" s="4"/>
      <c r="K53" s="4"/>
    </row>
    <row r="54" spans="2:11" ht="15.75" thickBot="1">
      <c r="B54" s="1033"/>
      <c r="C54" s="890"/>
      <c r="D54" s="845" t="s">
        <v>13</v>
      </c>
      <c r="E54" s="211"/>
      <c r="F54" s="4"/>
      <c r="G54" s="4"/>
      <c r="H54" s="4"/>
      <c r="I54" s="4"/>
      <c r="J54" s="4"/>
      <c r="K54" s="4"/>
    </row>
    <row r="55" spans="2:11" ht="15.75" thickBot="1">
      <c r="B55" s="1033"/>
      <c r="C55" s="890"/>
      <c r="D55" s="845" t="s">
        <v>16</v>
      </c>
      <c r="E55" s="211"/>
      <c r="F55" s="4"/>
      <c r="G55" s="4"/>
      <c r="H55" s="4"/>
      <c r="I55" s="4"/>
      <c r="J55" s="4"/>
      <c r="K55" s="4"/>
    </row>
    <row r="56" spans="2:11" ht="15.75" thickBot="1">
      <c r="B56" s="1033"/>
      <c r="C56" s="890"/>
      <c r="D56" s="845" t="s">
        <v>19</v>
      </c>
      <c r="E56" s="211"/>
      <c r="F56" s="4"/>
      <c r="G56" s="4"/>
      <c r="H56" s="4"/>
      <c r="I56" s="4"/>
      <c r="J56" s="4"/>
      <c r="K56" s="4"/>
    </row>
    <row r="57" spans="2:11" ht="15.75" thickBot="1">
      <c r="B57" s="1034"/>
      <c r="C57" s="857"/>
      <c r="D57" s="845" t="s">
        <v>1516</v>
      </c>
      <c r="E57" s="211"/>
      <c r="F57" s="4"/>
      <c r="G57" s="4"/>
      <c r="H57" s="4"/>
      <c r="I57" s="4"/>
      <c r="J57" s="4"/>
      <c r="K57" s="4"/>
    </row>
    <row r="58" spans="2:11" ht="15.75" thickBot="1">
      <c r="B58" s="1"/>
      <c r="C58" s="55"/>
      <c r="D58" s="4"/>
      <c r="E58" s="4"/>
      <c r="F58" s="4"/>
      <c r="G58" s="4"/>
      <c r="H58" s="4"/>
      <c r="I58" s="4"/>
      <c r="J58" s="4"/>
      <c r="K58" s="4"/>
    </row>
    <row r="59" spans="2:11" ht="15" customHeight="1" thickBot="1">
      <c r="B59" s="88" t="s">
        <v>1521</v>
      </c>
      <c r="C59" s="89"/>
      <c r="D59" s="89"/>
      <c r="E59" s="90"/>
      <c r="G59" s="4"/>
      <c r="H59" s="4"/>
      <c r="I59" s="4"/>
      <c r="J59" s="4"/>
      <c r="K59" s="4"/>
    </row>
    <row r="60" spans="2:11" ht="24.75" thickBot="1">
      <c r="B60" s="839" t="s">
        <v>1522</v>
      </c>
      <c r="C60" s="845" t="s">
        <v>1523</v>
      </c>
      <c r="D60" s="845" t="s">
        <v>1524</v>
      </c>
      <c r="E60" s="845" t="s">
        <v>1525</v>
      </c>
      <c r="F60" s="4"/>
      <c r="G60" s="4"/>
      <c r="H60" s="4"/>
      <c r="I60" s="4"/>
      <c r="J60" s="4"/>
    </row>
    <row r="61" spans="2:11" ht="72.75" thickBot="1">
      <c r="B61" s="38">
        <v>42401</v>
      </c>
      <c r="C61" s="845">
        <v>0.01</v>
      </c>
      <c r="D61" s="837" t="s">
        <v>2111</v>
      </c>
      <c r="E61" s="845"/>
      <c r="F61" s="4"/>
      <c r="G61" s="4"/>
      <c r="H61" s="4"/>
      <c r="I61" s="4"/>
      <c r="J61" s="4"/>
    </row>
    <row r="62" spans="2:11" ht="15.75" thickBot="1">
      <c r="B62" s="2"/>
      <c r="C62" s="70"/>
      <c r="D62" s="4"/>
      <c r="E62" s="4"/>
      <c r="F62" s="4"/>
      <c r="G62" s="4"/>
      <c r="H62" s="4"/>
      <c r="I62" s="4"/>
      <c r="J62" s="4"/>
      <c r="K62" s="4"/>
    </row>
    <row r="63" spans="2:11">
      <c r="B63" s="879" t="s">
        <v>1406</v>
      </c>
      <c r="C63" s="705"/>
      <c r="D63" s="4"/>
      <c r="E63" s="4"/>
      <c r="F63" s="4"/>
      <c r="G63" s="4"/>
      <c r="H63" s="4"/>
      <c r="I63" s="4"/>
      <c r="J63" s="4"/>
      <c r="K63" s="4"/>
    </row>
    <row r="64" spans="2:11" ht="81" customHeight="1">
      <c r="B64" s="1166" t="s">
        <v>2112</v>
      </c>
      <c r="C64" s="1167"/>
      <c r="D64" s="1168"/>
      <c r="E64" s="4"/>
      <c r="F64" s="4"/>
      <c r="G64" s="4"/>
      <c r="H64" s="4"/>
      <c r="I64" s="4"/>
      <c r="J64" s="4"/>
      <c r="K64" s="4"/>
    </row>
    <row r="65" spans="2:11">
      <c r="B65" s="1169"/>
      <c r="C65" s="1170"/>
      <c r="D65" s="1171"/>
      <c r="E65" s="4"/>
      <c r="F65" s="4"/>
      <c r="G65" s="4"/>
      <c r="H65" s="4"/>
      <c r="I65" s="4"/>
      <c r="J65" s="4"/>
      <c r="K65" s="4"/>
    </row>
    <row r="66" spans="2:11">
      <c r="B66" s="1"/>
      <c r="C66" s="55"/>
      <c r="D66" s="4"/>
      <c r="E66" s="4"/>
      <c r="F66" s="4"/>
      <c r="G66" s="4"/>
      <c r="H66" s="4"/>
      <c r="I66" s="4"/>
      <c r="J66" s="4"/>
      <c r="K66" s="4"/>
    </row>
    <row r="67" spans="2:11" ht="15.75" thickBot="1">
      <c r="B67" s="4"/>
      <c r="D67" s="4"/>
      <c r="E67" s="4"/>
      <c r="F67" s="4"/>
      <c r="G67" s="4"/>
      <c r="H67" s="4"/>
      <c r="I67" s="4"/>
      <c r="J67" s="4"/>
      <c r="K67" s="4"/>
    </row>
    <row r="68" spans="2:11" ht="24.75" thickBot="1">
      <c r="B68" s="39" t="s">
        <v>2035</v>
      </c>
      <c r="C68" s="708"/>
      <c r="D68" s="4"/>
      <c r="E68" s="4"/>
      <c r="F68" s="4"/>
      <c r="G68" s="4"/>
      <c r="H68" s="4"/>
      <c r="I68" s="4"/>
      <c r="J68" s="4"/>
      <c r="K68" s="4"/>
    </row>
    <row r="69" spans="2:11" ht="15.75" thickBot="1">
      <c r="B69" s="31"/>
      <c r="C69" s="64"/>
      <c r="D69" s="4"/>
      <c r="E69" s="4"/>
      <c r="F69" s="4"/>
      <c r="G69" s="4"/>
      <c r="H69" s="4"/>
      <c r="I69" s="4"/>
      <c r="J69" s="4"/>
      <c r="K69" s="4"/>
    </row>
    <row r="70" spans="2:11" ht="84.75" thickBot="1">
      <c r="B70" s="40" t="s">
        <v>1528</v>
      </c>
      <c r="C70" s="878"/>
      <c r="D70" s="842" t="s">
        <v>2113</v>
      </c>
      <c r="E70" s="4"/>
      <c r="F70" s="4"/>
      <c r="G70" s="4"/>
      <c r="H70" s="4"/>
      <c r="I70" s="4"/>
      <c r="J70" s="4"/>
      <c r="K70" s="4"/>
    </row>
    <row r="71" spans="2:11">
      <c r="B71" s="1032" t="s">
        <v>1530</v>
      </c>
      <c r="C71" s="890"/>
      <c r="D71" s="836" t="s">
        <v>1531</v>
      </c>
      <c r="E71" s="4"/>
      <c r="F71" s="4"/>
      <c r="G71" s="4"/>
      <c r="H71" s="4"/>
      <c r="I71" s="4"/>
      <c r="J71" s="4"/>
      <c r="K71" s="4"/>
    </row>
    <row r="72" spans="2:11" ht="120">
      <c r="B72" s="1033"/>
      <c r="C72" s="890"/>
      <c r="D72" s="829" t="s">
        <v>2114</v>
      </c>
      <c r="E72" s="4"/>
      <c r="F72" s="4"/>
      <c r="G72" s="4"/>
      <c r="H72" s="4"/>
      <c r="I72" s="4"/>
      <c r="J72" s="4"/>
      <c r="K72" s="4"/>
    </row>
    <row r="73" spans="2:11">
      <c r="B73" s="1033"/>
      <c r="C73" s="890"/>
      <c r="D73" s="836" t="s">
        <v>1534</v>
      </c>
      <c r="E73" s="4"/>
      <c r="F73" s="4"/>
      <c r="G73" s="4"/>
      <c r="H73" s="4"/>
      <c r="I73" s="4"/>
      <c r="J73" s="4"/>
      <c r="K73" s="4"/>
    </row>
    <row r="74" spans="2:11">
      <c r="B74" s="1033"/>
      <c r="C74" s="890"/>
      <c r="D74" s="829" t="s">
        <v>1651</v>
      </c>
      <c r="E74" s="4"/>
      <c r="F74" s="4"/>
      <c r="G74" s="4"/>
      <c r="H74" s="4"/>
      <c r="I74" s="4"/>
      <c r="J74" s="4"/>
      <c r="K74" s="4"/>
    </row>
    <row r="75" spans="2:11" ht="24">
      <c r="B75" s="1033"/>
      <c r="C75" s="890"/>
      <c r="D75" s="829" t="s">
        <v>2115</v>
      </c>
      <c r="E75" s="4"/>
      <c r="F75" s="4"/>
      <c r="G75" s="4"/>
      <c r="H75" s="4"/>
      <c r="I75" s="4"/>
      <c r="J75" s="4"/>
      <c r="K75" s="4"/>
    </row>
    <row r="76" spans="2:11">
      <c r="B76" s="1033"/>
      <c r="C76" s="890"/>
      <c r="D76" s="829" t="s">
        <v>2116</v>
      </c>
      <c r="E76" s="4"/>
      <c r="F76" s="4"/>
      <c r="G76" s="4"/>
      <c r="H76" s="4"/>
      <c r="I76" s="4"/>
      <c r="J76" s="4"/>
      <c r="K76" s="4"/>
    </row>
    <row r="77" spans="2:11" ht="24">
      <c r="B77" s="1033"/>
      <c r="C77" s="890"/>
      <c r="D77" s="829" t="s">
        <v>2117</v>
      </c>
      <c r="E77" s="4"/>
      <c r="F77" s="4"/>
      <c r="G77" s="4"/>
      <c r="H77" s="4"/>
      <c r="I77" s="4"/>
      <c r="J77" s="4"/>
      <c r="K77" s="4"/>
    </row>
    <row r="78" spans="2:11" ht="24">
      <c r="B78" s="1033"/>
      <c r="C78" s="890"/>
      <c r="D78" s="829" t="s">
        <v>2118</v>
      </c>
      <c r="E78" s="4"/>
      <c r="F78" s="4"/>
      <c r="G78" s="4"/>
      <c r="H78" s="4"/>
      <c r="I78" s="4"/>
      <c r="J78" s="4"/>
      <c r="K78" s="4"/>
    </row>
    <row r="79" spans="2:11" ht="24">
      <c r="B79" s="1033"/>
      <c r="C79" s="890"/>
      <c r="D79" s="829" t="s">
        <v>2119</v>
      </c>
      <c r="E79" s="4"/>
      <c r="F79" s="4"/>
      <c r="G79" s="4"/>
      <c r="H79" s="4"/>
      <c r="I79" s="4"/>
      <c r="J79" s="4"/>
      <c r="K79" s="4"/>
    </row>
    <row r="80" spans="2:11">
      <c r="B80" s="1033"/>
      <c r="C80" s="890"/>
      <c r="D80" s="836" t="s">
        <v>1797</v>
      </c>
      <c r="E80" s="4"/>
      <c r="F80" s="4"/>
      <c r="G80" s="4"/>
      <c r="H80" s="4"/>
      <c r="I80" s="4"/>
      <c r="J80" s="4"/>
      <c r="K80" s="4"/>
    </row>
    <row r="81" spans="2:11" ht="36">
      <c r="B81" s="1033"/>
      <c r="C81" s="890"/>
      <c r="D81" s="829" t="s">
        <v>1904</v>
      </c>
      <c r="E81" s="4"/>
      <c r="F81" s="4"/>
      <c r="G81" s="4"/>
      <c r="H81" s="4"/>
      <c r="I81" s="4"/>
      <c r="J81" s="4"/>
      <c r="K81" s="4"/>
    </row>
    <row r="82" spans="2:11" ht="36">
      <c r="B82" s="1033"/>
      <c r="C82" s="890"/>
      <c r="D82" s="829" t="s">
        <v>2120</v>
      </c>
      <c r="E82" s="4"/>
      <c r="F82" s="4"/>
      <c r="G82" s="4"/>
      <c r="H82" s="4"/>
      <c r="I82" s="4"/>
      <c r="J82" s="4"/>
      <c r="K82" s="4"/>
    </row>
    <row r="83" spans="2:11" ht="84.75" thickBot="1">
      <c r="B83" s="1034"/>
      <c r="C83" s="857"/>
      <c r="D83" s="845" t="s">
        <v>2121</v>
      </c>
      <c r="E83" s="4"/>
      <c r="F83" s="4"/>
      <c r="G83" s="4"/>
      <c r="H83" s="4"/>
      <c r="I83" s="4"/>
      <c r="J83" s="4"/>
      <c r="K83" s="4"/>
    </row>
    <row r="84" spans="2:11" ht="24.75" thickBot="1">
      <c r="B84" s="839" t="s">
        <v>1543</v>
      </c>
      <c r="C84" s="857"/>
      <c r="D84" s="845"/>
      <c r="E84" s="4"/>
      <c r="F84" s="4"/>
      <c r="G84" s="4"/>
      <c r="H84" s="4"/>
      <c r="I84" s="4"/>
      <c r="J84" s="4"/>
      <c r="K84" s="4"/>
    </row>
    <row r="85" spans="2:11" ht="84">
      <c r="B85" s="1032" t="s">
        <v>1544</v>
      </c>
      <c r="C85" s="890"/>
      <c r="D85" s="829" t="s">
        <v>2122</v>
      </c>
      <c r="E85" s="4"/>
      <c r="F85" s="4"/>
      <c r="G85" s="4"/>
      <c r="H85" s="4"/>
      <c r="I85" s="4"/>
      <c r="J85" s="4"/>
      <c r="K85" s="4"/>
    </row>
    <row r="86" spans="2:11" ht="96">
      <c r="B86" s="1033"/>
      <c r="C86" s="890"/>
      <c r="D86" s="829" t="s">
        <v>2123</v>
      </c>
      <c r="E86" s="4"/>
      <c r="F86" s="4"/>
      <c r="G86" s="4"/>
      <c r="H86" s="4"/>
      <c r="I86" s="4"/>
      <c r="J86" s="4"/>
      <c r="K86" s="4"/>
    </row>
    <row r="87" spans="2:11" ht="132">
      <c r="B87" s="1033"/>
      <c r="C87" s="890"/>
      <c r="D87" s="829" t="s">
        <v>2124</v>
      </c>
      <c r="E87" s="4"/>
      <c r="F87" s="4"/>
      <c r="G87" s="4"/>
      <c r="H87" s="4"/>
      <c r="I87" s="4"/>
      <c r="J87" s="4"/>
      <c r="K87" s="4"/>
    </row>
    <row r="88" spans="2:11" ht="144.75" thickBot="1">
      <c r="B88" s="1034"/>
      <c r="C88" s="857"/>
      <c r="D88" s="845" t="s">
        <v>2125</v>
      </c>
      <c r="E88" s="4"/>
      <c r="F88" s="4"/>
      <c r="G88" s="4"/>
      <c r="H88" s="4"/>
      <c r="I88" s="4"/>
      <c r="J88" s="4"/>
      <c r="K88" s="4"/>
    </row>
    <row r="89" spans="2:11" ht="24">
      <c r="B89" s="1032" t="s">
        <v>1561</v>
      </c>
      <c r="C89" s="890"/>
      <c r="D89" s="836" t="s">
        <v>749</v>
      </c>
      <c r="E89" s="4"/>
      <c r="F89" s="4"/>
      <c r="G89" s="4"/>
      <c r="H89" s="4"/>
      <c r="I89" s="4"/>
      <c r="J89" s="4"/>
      <c r="K89" s="4"/>
    </row>
    <row r="90" spans="2:11">
      <c r="B90" s="1033"/>
      <c r="C90" s="890"/>
      <c r="D90" s="829" t="s">
        <v>2094</v>
      </c>
      <c r="E90" s="4"/>
      <c r="F90" s="4"/>
      <c r="G90" s="4"/>
      <c r="H90" s="4"/>
      <c r="I90" s="4"/>
      <c r="J90" s="4"/>
      <c r="K90" s="4"/>
    </row>
    <row r="91" spans="2:11">
      <c r="B91" s="1033"/>
      <c r="C91" s="890"/>
      <c r="D91" s="829" t="s">
        <v>1562</v>
      </c>
      <c r="E91" s="4"/>
      <c r="F91" s="4"/>
      <c r="G91" s="4"/>
      <c r="H91" s="4"/>
      <c r="I91" s="4"/>
      <c r="J91" s="4"/>
      <c r="K91" s="4"/>
    </row>
    <row r="92" spans="2:11" ht="37.5">
      <c r="B92" s="1033"/>
      <c r="C92" s="890"/>
      <c r="D92" s="829" t="s">
        <v>2126</v>
      </c>
      <c r="E92" s="4"/>
      <c r="F92" s="4"/>
      <c r="G92" s="4"/>
      <c r="H92" s="4"/>
      <c r="I92" s="4"/>
      <c r="J92" s="4"/>
      <c r="K92" s="4"/>
    </row>
    <row r="93" spans="2:11" ht="37.5">
      <c r="B93" s="1033"/>
      <c r="C93" s="890"/>
      <c r="D93" s="829" t="s">
        <v>2127</v>
      </c>
      <c r="E93" s="4"/>
      <c r="F93" s="4"/>
      <c r="G93" s="4"/>
      <c r="H93" s="4"/>
      <c r="I93" s="4"/>
      <c r="J93" s="4"/>
      <c r="K93" s="4"/>
    </row>
    <row r="94" spans="2:11" ht="37.5">
      <c r="B94" s="1033"/>
      <c r="C94" s="890"/>
      <c r="D94" s="829" t="s">
        <v>2128</v>
      </c>
      <c r="E94" s="4"/>
      <c r="F94" s="4"/>
      <c r="G94" s="4"/>
      <c r="H94" s="4"/>
      <c r="I94" s="4"/>
      <c r="J94" s="4"/>
      <c r="K94" s="4"/>
    </row>
    <row r="95" spans="2:11" ht="84">
      <c r="B95" s="1033"/>
      <c r="C95" s="890"/>
      <c r="D95" s="41" t="s">
        <v>1762</v>
      </c>
      <c r="E95" s="4"/>
      <c r="F95" s="4"/>
      <c r="G95" s="4"/>
      <c r="H95" s="4"/>
      <c r="I95" s="4"/>
      <c r="J95" s="4"/>
      <c r="K95" s="4"/>
    </row>
    <row r="96" spans="2:11">
      <c r="B96" s="1033"/>
      <c r="C96" s="890"/>
      <c r="D96" s="836" t="s">
        <v>1726</v>
      </c>
      <c r="E96" s="4"/>
      <c r="F96" s="4"/>
      <c r="G96" s="4"/>
      <c r="H96" s="4"/>
      <c r="I96" s="4"/>
      <c r="J96" s="4"/>
      <c r="K96" s="4"/>
    </row>
    <row r="97" spans="2:11" ht="24">
      <c r="B97" s="1033"/>
      <c r="C97" s="890"/>
      <c r="D97" s="836" t="s">
        <v>2129</v>
      </c>
      <c r="E97" s="4"/>
      <c r="F97" s="4"/>
      <c r="G97" s="4"/>
      <c r="H97" s="4"/>
      <c r="I97" s="4"/>
      <c r="J97" s="4"/>
      <c r="K97" s="4"/>
    </row>
    <row r="98" spans="2:11">
      <c r="B98" s="1033"/>
      <c r="C98" s="890"/>
      <c r="D98" s="826"/>
      <c r="E98" s="4"/>
      <c r="F98" s="4"/>
      <c r="G98" s="4"/>
      <c r="H98" s="4"/>
      <c r="I98" s="4"/>
      <c r="J98" s="4"/>
      <c r="K98" s="4"/>
    </row>
    <row r="99" spans="2:11">
      <c r="B99" s="1033"/>
      <c r="C99" s="890"/>
      <c r="D99" s="829" t="s">
        <v>1562</v>
      </c>
      <c r="E99" s="4"/>
      <c r="F99" s="4"/>
      <c r="G99" s="4"/>
      <c r="H99" s="4"/>
      <c r="I99" s="4"/>
      <c r="J99" s="4"/>
      <c r="K99" s="4"/>
    </row>
    <row r="100" spans="2:11" ht="49.5">
      <c r="B100" s="1033"/>
      <c r="C100" s="890"/>
      <c r="D100" s="829" t="s">
        <v>2130</v>
      </c>
      <c r="E100" s="4"/>
      <c r="F100" s="4"/>
      <c r="G100" s="4"/>
      <c r="H100" s="4"/>
      <c r="I100" s="4"/>
      <c r="J100" s="4"/>
      <c r="K100" s="4"/>
    </row>
    <row r="101" spans="2:11" ht="50.25" thickBot="1">
      <c r="B101" s="1034"/>
      <c r="C101" s="857"/>
      <c r="D101" s="845" t="s">
        <v>2131</v>
      </c>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sheetData>
  <sheetProtection insertRows="0"/>
  <mergeCells count="38">
    <mergeCell ref="A1:P1"/>
    <mergeCell ref="A2:P2"/>
    <mergeCell ref="A3:P3"/>
    <mergeCell ref="A4:D4"/>
    <mergeCell ref="A5:P5"/>
    <mergeCell ref="D23:L23"/>
    <mergeCell ref="D24:L24"/>
    <mergeCell ref="D25:L25"/>
    <mergeCell ref="K16:K17"/>
    <mergeCell ref="C26:C27"/>
    <mergeCell ref="D26:D27"/>
    <mergeCell ref="E26:E27"/>
    <mergeCell ref="F26:F27"/>
    <mergeCell ref="G26:G27"/>
    <mergeCell ref="J26:J27"/>
    <mergeCell ref="H16:J16"/>
    <mergeCell ref="L26:L27"/>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B10:D10"/>
    <mergeCell ref="F10:S10"/>
    <mergeCell ref="F11:S11"/>
    <mergeCell ref="E12:R12"/>
    <mergeCell ref="E13:R13"/>
  </mergeCells>
  <conditionalFormatting sqref="F10">
    <cfRule type="notContainsBlanks" dxfId="74" priority="4">
      <formula>LEN(TRIM(F10))&gt;0</formula>
    </cfRule>
  </conditionalFormatting>
  <conditionalFormatting sqref="F11:S11">
    <cfRule type="expression" dxfId="73" priority="2">
      <formula>E11="NO SE REPORTA"</formula>
    </cfRule>
    <cfRule type="expression" dxfId="72" priority="3">
      <formula>E10="NO APLICA"</formula>
    </cfRule>
  </conditionalFormatting>
  <conditionalFormatting sqref="E12:R12">
    <cfRule type="expression" dxfId="7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xr:uid="{00000000-0002-0000-1600-000000000000}">
      <formula1>0</formula1>
    </dataValidation>
    <dataValidation type="whole" operator="greaterThanOrEqual" allowBlank="1" showInputMessage="1" showErrorMessage="1" errorTitle="ERROR" error="Valor en PESOS (sin centavos)" sqref="H28:K36" xr:uid="{00000000-0002-0000-1600-000001000000}">
      <formula1>0</formula1>
    </dataValidation>
    <dataValidation type="list" allowBlank="1" showInputMessage="1" showErrorMessage="1" sqref="E11" xr:uid="{00000000-0002-0000-1600-000002000000}">
      <formula1>REPORTE</formula1>
    </dataValidation>
    <dataValidation type="list" allowBlank="1" showInputMessage="1" showErrorMessage="1" sqref="E10" xr:uid="{00000000-0002-0000-1600-000003000000}">
      <formula1>SI</formula1>
    </dataValidation>
  </dataValidations>
  <hyperlinks>
    <hyperlink ref="B9" location="'ANEXO 3'!A1" display="VOLVER AL INDICE" xr:uid="{00000000-0004-0000-1600-000000000000}"/>
    <hyperlink ref="E46" r:id="rId1" xr:uid="{00000000-0004-0000-16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179"/>
  <sheetViews>
    <sheetView showGridLines="0" topLeftCell="A31" zoomScale="98" zoomScaleNormal="98" workbookViewId="0">
      <selection activeCell="E13" sqref="E13:R13"/>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6.42578125" style="241" customWidth="1"/>
    <col min="6" max="6" width="13" style="241" customWidth="1"/>
    <col min="7"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750</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55"/>
      <c r="D7" s="4"/>
      <c r="E7" s="13"/>
      <c r="F7" s="4" t="s">
        <v>1439</v>
      </c>
      <c r="G7" s="4"/>
      <c r="H7" s="4"/>
      <c r="I7" s="4"/>
      <c r="J7" s="4"/>
      <c r="K7" s="4"/>
    </row>
    <row r="8" spans="1:21" ht="15.75" thickBot="1">
      <c r="B8" s="133" t="s">
        <v>1440</v>
      </c>
      <c r="C8" s="164">
        <v>2020</v>
      </c>
      <c r="D8" s="245" t="e">
        <f>IF(E10="NO APLICA","NO APLICA",IF(E11="NO SE REPORTA","SIN INFORMACION",+E22))</f>
        <v>#DIV/0!</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2132</v>
      </c>
      <c r="F12" s="1056"/>
      <c r="G12" s="1056"/>
      <c r="H12" s="1056"/>
      <c r="I12" s="1056"/>
      <c r="J12" s="1056"/>
      <c r="K12" s="1056"/>
      <c r="L12" s="1056"/>
      <c r="M12" s="1056"/>
      <c r="N12" s="1056"/>
      <c r="O12" s="1056"/>
      <c r="P12" s="1056"/>
      <c r="Q12" s="1056"/>
      <c r="R12" s="1056"/>
    </row>
    <row r="13" spans="1:21" ht="21.95" customHeight="1">
      <c r="B13" s="300"/>
      <c r="C13" s="64"/>
      <c r="D13" s="132" t="s">
        <v>1447</v>
      </c>
      <c r="E13" s="1057" t="s">
        <v>2133</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6" customHeight="1" thickTop="1" thickBot="1">
      <c r="B15" s="1132" t="s">
        <v>1449</v>
      </c>
      <c r="C15" s="65"/>
      <c r="D15" s="1009" t="s">
        <v>1816</v>
      </c>
      <c r="E15" s="1010"/>
      <c r="F15" s="1010"/>
      <c r="G15" s="1010"/>
      <c r="H15" s="1010"/>
      <c r="I15" s="1010"/>
      <c r="J15" s="1010"/>
      <c r="K15" s="1011"/>
    </row>
    <row r="16" spans="1:21" ht="15.75" thickBot="1">
      <c r="B16" s="1133"/>
      <c r="C16" s="890"/>
      <c r="D16" s="842" t="s">
        <v>1603</v>
      </c>
      <c r="E16" s="875" t="s">
        <v>1487</v>
      </c>
      <c r="F16" s="875" t="s">
        <v>1488</v>
      </c>
      <c r="G16" s="875" t="s">
        <v>1489</v>
      </c>
      <c r="H16" s="244" t="s">
        <v>1490</v>
      </c>
      <c r="I16" s="746"/>
      <c r="J16" s="4"/>
      <c r="K16" s="17"/>
    </row>
    <row r="17" spans="2:11" ht="36.75" thickBot="1">
      <c r="B17" s="1133"/>
      <c r="C17" s="890"/>
      <c r="D17" s="845" t="s">
        <v>2134</v>
      </c>
      <c r="E17" s="144">
        <v>0</v>
      </c>
      <c r="F17" s="144">
        <v>0</v>
      </c>
      <c r="G17" s="144">
        <v>100</v>
      </c>
      <c r="H17" s="144">
        <v>150</v>
      </c>
      <c r="I17" s="747"/>
      <c r="J17" s="4"/>
      <c r="K17" s="17"/>
    </row>
    <row r="18" spans="2:11" ht="24.75" thickBot="1">
      <c r="B18" s="1133"/>
      <c r="C18" s="890"/>
      <c r="D18" s="845" t="s">
        <v>2135</v>
      </c>
      <c r="E18" s="144">
        <v>0</v>
      </c>
      <c r="F18" s="144">
        <v>0</v>
      </c>
      <c r="G18" s="144">
        <v>0</v>
      </c>
      <c r="H18" s="274">
        <v>0</v>
      </c>
      <c r="I18" s="746"/>
      <c r="J18" s="4"/>
      <c r="K18" s="17"/>
    </row>
    <row r="19" spans="2:11" ht="15.75" thickBot="1">
      <c r="B19" s="1133"/>
      <c r="C19" s="890"/>
      <c r="D19" s="845" t="s">
        <v>2136</v>
      </c>
      <c r="E19" s="144">
        <v>0</v>
      </c>
      <c r="F19" s="144">
        <v>0</v>
      </c>
      <c r="G19" s="144"/>
      <c r="H19" s="274"/>
      <c r="I19" s="746"/>
      <c r="J19" s="4"/>
      <c r="K19" s="17"/>
    </row>
    <row r="20" spans="2:11" ht="15.75" thickBot="1">
      <c r="B20" s="1133"/>
      <c r="C20" s="890"/>
      <c r="D20" s="845" t="s">
        <v>2137</v>
      </c>
      <c r="E20" s="144">
        <v>0</v>
      </c>
      <c r="F20" s="144">
        <v>0</v>
      </c>
      <c r="G20" s="144">
        <v>0</v>
      </c>
      <c r="H20" s="274">
        <v>0</v>
      </c>
      <c r="I20" s="746"/>
      <c r="J20" s="4"/>
      <c r="K20" s="17"/>
    </row>
    <row r="21" spans="2:11" ht="15.75" thickBot="1">
      <c r="B21" s="1133"/>
      <c r="C21" s="890"/>
      <c r="D21" s="845" t="s">
        <v>1604</v>
      </c>
      <c r="E21" s="101">
        <f>SUM(E18:E20)</f>
        <v>0</v>
      </c>
      <c r="F21" s="101">
        <f>SUM(F18:F20)</f>
        <v>0</v>
      </c>
      <c r="G21" s="101">
        <f>SUM(G18:G20)</f>
        <v>0</v>
      </c>
      <c r="H21" s="101">
        <f>SUM(H18:H20)</f>
        <v>0</v>
      </c>
      <c r="I21" s="746"/>
      <c r="J21" s="4"/>
      <c r="K21" s="17"/>
    </row>
    <row r="22" spans="2:11" ht="36.75" thickBot="1">
      <c r="B22" s="1133"/>
      <c r="C22" s="739"/>
      <c r="D22" s="40" t="s">
        <v>750</v>
      </c>
      <c r="E22" s="102" t="e">
        <f>+E21/E17</f>
        <v>#DIV/0!</v>
      </c>
      <c r="F22" s="102" t="e">
        <f>+F21/F17</f>
        <v>#DIV/0!</v>
      </c>
      <c r="G22" s="102">
        <f>+G21/G17</f>
        <v>0</v>
      </c>
      <c r="H22" s="102">
        <f>+H21/H17</f>
        <v>0</v>
      </c>
      <c r="I22" s="746"/>
      <c r="J22" s="4"/>
      <c r="K22" s="17"/>
    </row>
    <row r="23" spans="2:11">
      <c r="B23" s="1133"/>
      <c r="C23" s="68"/>
      <c r="D23" s="1012" t="s">
        <v>1726</v>
      </c>
      <c r="E23" s="1013"/>
      <c r="F23" s="1013"/>
      <c r="G23" s="1013"/>
      <c r="H23" s="1013"/>
      <c r="I23" s="1013"/>
      <c r="J23" s="1013"/>
      <c r="K23" s="1014"/>
    </row>
    <row r="24" spans="2:11">
      <c r="B24" s="1133"/>
      <c r="C24" s="68"/>
      <c r="D24" s="1012" t="s">
        <v>2138</v>
      </c>
      <c r="E24" s="1013"/>
      <c r="F24" s="1013"/>
      <c r="G24" s="1013"/>
      <c r="H24" s="1013"/>
      <c r="I24" s="1013"/>
      <c r="J24" s="1013"/>
      <c r="K24" s="1014"/>
    </row>
    <row r="25" spans="2:11" ht="15.75" thickBot="1">
      <c r="B25" s="1133"/>
      <c r="C25" s="68"/>
      <c r="D25" s="1044" t="s">
        <v>1823</v>
      </c>
      <c r="E25" s="1045"/>
      <c r="F25" s="1045"/>
      <c r="G25" s="1045"/>
      <c r="H25" s="1045"/>
      <c r="I25" s="1045"/>
      <c r="J25" s="1045"/>
      <c r="K25" s="1046"/>
    </row>
    <row r="26" spans="2:11" ht="52.5" customHeight="1" thickBot="1">
      <c r="B26" s="838"/>
      <c r="C26" s="878" t="s">
        <v>1402</v>
      </c>
      <c r="D26" s="875" t="s">
        <v>1728</v>
      </c>
      <c r="E26" s="52" t="s">
        <v>2139</v>
      </c>
      <c r="F26" s="875" t="s">
        <v>2140</v>
      </c>
      <c r="G26" s="875" t="s">
        <v>1826</v>
      </c>
      <c r="H26" s="875" t="s">
        <v>1827</v>
      </c>
      <c r="I26" s="875" t="s">
        <v>1732</v>
      </c>
      <c r="J26" s="875" t="s">
        <v>1733</v>
      </c>
      <c r="K26" s="875" t="s">
        <v>1406</v>
      </c>
    </row>
    <row r="27" spans="2:11" ht="186.75" customHeight="1" thickBot="1">
      <c r="B27" s="838"/>
      <c r="C27" s="857">
        <v>1</v>
      </c>
      <c r="D27" s="748" t="s">
        <v>2141</v>
      </c>
      <c r="E27" s="741" t="s">
        <v>2142</v>
      </c>
      <c r="F27" s="161">
        <v>150</v>
      </c>
      <c r="G27" s="161">
        <v>1500000000</v>
      </c>
      <c r="H27" s="161"/>
      <c r="I27" s="161"/>
      <c r="J27" s="161"/>
      <c r="K27" s="144" t="s">
        <v>2143</v>
      </c>
    </row>
    <row r="28" spans="2:11" ht="194.25" customHeight="1" thickBot="1">
      <c r="B28" s="838"/>
      <c r="C28" s="715">
        <v>2</v>
      </c>
      <c r="D28" s="749" t="s">
        <v>2144</v>
      </c>
      <c r="E28" s="745" t="s">
        <v>2145</v>
      </c>
      <c r="F28" s="750">
        <v>100</v>
      </c>
      <c r="G28" s="161">
        <v>1000000000</v>
      </c>
      <c r="H28" s="161"/>
      <c r="I28" s="161"/>
      <c r="J28" s="161"/>
      <c r="K28" s="144" t="s">
        <v>2146</v>
      </c>
    </row>
    <row r="29" spans="2:11" ht="15.75" thickBot="1">
      <c r="B29" s="838"/>
      <c r="C29" s="715">
        <v>3</v>
      </c>
      <c r="D29" s="699"/>
      <c r="E29" s="699"/>
      <c r="F29" s="699"/>
      <c r="G29" s="161"/>
      <c r="H29" s="161"/>
      <c r="I29" s="161"/>
      <c r="J29" s="161"/>
      <c r="K29" s="161"/>
    </row>
    <row r="30" spans="2:11" ht="15.75" thickBot="1">
      <c r="B30" s="838"/>
      <c r="C30" s="857">
        <v>4</v>
      </c>
      <c r="D30" s="25"/>
      <c r="E30" s="25"/>
      <c r="F30" s="161"/>
      <c r="G30" s="161"/>
      <c r="H30" s="161"/>
      <c r="I30" s="161"/>
      <c r="J30" s="161"/>
      <c r="K30" s="161"/>
    </row>
    <row r="31" spans="2:11" ht="15.75" thickBot="1">
      <c r="B31" s="838"/>
      <c r="C31" s="857">
        <v>5</v>
      </c>
      <c r="D31" s="25"/>
      <c r="E31" s="25"/>
      <c r="F31" s="161"/>
      <c r="G31" s="161"/>
      <c r="H31" s="161"/>
      <c r="I31" s="161"/>
      <c r="J31" s="161"/>
      <c r="K31" s="161"/>
    </row>
    <row r="32" spans="2:11" ht="15.75" thickBot="1">
      <c r="B32" s="838"/>
      <c r="C32" s="857">
        <v>6</v>
      </c>
      <c r="D32" s="25"/>
      <c r="E32" s="25"/>
      <c r="F32" s="161"/>
      <c r="G32" s="161"/>
      <c r="H32" s="161"/>
      <c r="I32" s="161"/>
      <c r="J32" s="161"/>
      <c r="K32" s="161"/>
    </row>
    <row r="33" spans="2:11" ht="15.75" thickBot="1">
      <c r="B33" s="839"/>
      <c r="C33" s="857"/>
      <c r="D33" s="845" t="s">
        <v>1604</v>
      </c>
      <c r="E33" s="845"/>
      <c r="F33" s="97">
        <f>SUM(F27:F32)</f>
        <v>250</v>
      </c>
      <c r="G33" s="97">
        <f>SUM(G27:G32)</f>
        <v>2500000000</v>
      </c>
      <c r="H33" s="97">
        <f>SUM(H27:H32)</f>
        <v>0</v>
      </c>
      <c r="I33" s="97">
        <f>SUM(I27:I32)</f>
        <v>0</v>
      </c>
      <c r="J33" s="97">
        <f>SUM(J27:J32)</f>
        <v>0</v>
      </c>
      <c r="K33" s="161"/>
    </row>
    <row r="34" spans="2:11" ht="24" customHeight="1" thickBot="1">
      <c r="B34" s="867" t="s">
        <v>1504</v>
      </c>
      <c r="C34" s="77"/>
      <c r="D34" s="1041" t="s">
        <v>2147</v>
      </c>
      <c r="E34" s="1042"/>
      <c r="F34" s="1042"/>
      <c r="G34" s="1042"/>
      <c r="H34" s="1042"/>
      <c r="I34" s="1042"/>
      <c r="J34" s="1042"/>
      <c r="K34" s="1043"/>
    </row>
    <row r="35" spans="2:11" ht="24" customHeight="1" thickBot="1">
      <c r="B35" s="867" t="s">
        <v>1506</v>
      </c>
      <c r="C35" s="77"/>
      <c r="D35" s="1041" t="s">
        <v>1831</v>
      </c>
      <c r="E35" s="1042"/>
      <c r="F35" s="1042"/>
      <c r="G35" s="1042"/>
      <c r="H35" s="1042"/>
      <c r="I35" s="1042"/>
      <c r="J35" s="1042"/>
      <c r="K35" s="1043"/>
    </row>
    <row r="36" spans="2:11" ht="15.75" thickBot="1">
      <c r="B36" s="1"/>
      <c r="C36" s="55"/>
      <c r="D36" s="4"/>
      <c r="E36" s="4"/>
      <c r="F36" s="4"/>
      <c r="G36" s="4"/>
      <c r="H36" s="4"/>
      <c r="I36" s="4"/>
      <c r="J36" s="4"/>
      <c r="K36" s="4"/>
    </row>
    <row r="37" spans="2:11" ht="24" customHeight="1" thickBot="1">
      <c r="B37" s="1029" t="s">
        <v>1508</v>
      </c>
      <c r="C37" s="1030"/>
      <c r="D37" s="1030"/>
      <c r="E37" s="1031"/>
      <c r="F37" s="4"/>
      <c r="G37" s="4"/>
      <c r="H37" s="4"/>
      <c r="I37" s="4"/>
      <c r="J37" s="4"/>
      <c r="K37" s="4"/>
    </row>
    <row r="38" spans="2:11" ht="15.75" thickBot="1">
      <c r="B38" s="1032">
        <v>1</v>
      </c>
      <c r="C38" s="890"/>
      <c r="D38" s="37" t="s">
        <v>1509</v>
      </c>
      <c r="E38" s="25" t="s">
        <v>1510</v>
      </c>
      <c r="F38" s="4"/>
      <c r="G38" s="4"/>
      <c r="H38" s="4"/>
      <c r="I38" s="4"/>
      <c r="J38" s="4"/>
      <c r="K38" s="4"/>
    </row>
    <row r="39" spans="2:11" ht="24.75" thickBot="1">
      <c r="B39" s="1033"/>
      <c r="C39" s="890"/>
      <c r="D39" s="845" t="s">
        <v>10</v>
      </c>
      <c r="E39" s="24" t="s">
        <v>2148</v>
      </c>
      <c r="F39" s="4"/>
      <c r="G39" s="4"/>
      <c r="H39" s="4"/>
      <c r="I39" s="4"/>
      <c r="J39" s="4"/>
      <c r="K39" s="4"/>
    </row>
    <row r="40" spans="2:11" ht="24.75" thickBot="1">
      <c r="B40" s="1033"/>
      <c r="C40" s="890"/>
      <c r="D40" s="845" t="s">
        <v>1512</v>
      </c>
      <c r="E40" s="24" t="s">
        <v>2149</v>
      </c>
      <c r="F40" s="4"/>
      <c r="G40" s="4"/>
      <c r="H40" s="4"/>
      <c r="I40" s="4"/>
      <c r="J40" s="4"/>
      <c r="K40" s="4"/>
    </row>
    <row r="41" spans="2:11" ht="15.75" thickBot="1">
      <c r="B41" s="1033"/>
      <c r="C41" s="890"/>
      <c r="D41" s="845" t="s">
        <v>13</v>
      </c>
      <c r="E41" s="25" t="s">
        <v>1645</v>
      </c>
      <c r="F41" s="4"/>
      <c r="G41" s="4"/>
      <c r="H41" s="4"/>
      <c r="I41" s="4"/>
      <c r="J41" s="4"/>
      <c r="K41" s="4"/>
    </row>
    <row r="42" spans="2:11" ht="30.75" thickBot="1">
      <c r="B42" s="1033"/>
      <c r="C42" s="890"/>
      <c r="D42" s="845" t="s">
        <v>16</v>
      </c>
      <c r="E42" s="704" t="s">
        <v>1515</v>
      </c>
      <c r="F42" s="4"/>
      <c r="G42" s="4"/>
      <c r="H42" s="4"/>
      <c r="I42" s="4"/>
      <c r="J42" s="4"/>
      <c r="K42" s="4"/>
    </row>
    <row r="43" spans="2:11" ht="15.75" thickBot="1">
      <c r="B43" s="1033"/>
      <c r="C43" s="890"/>
      <c r="D43" s="845" t="s">
        <v>19</v>
      </c>
      <c r="E43" s="121">
        <v>3686626</v>
      </c>
      <c r="F43" s="4"/>
      <c r="G43" s="4"/>
      <c r="H43" s="4"/>
      <c r="I43" s="4"/>
      <c r="J43" s="4"/>
      <c r="K43" s="4"/>
    </row>
    <row r="44" spans="2:11" ht="24.75" thickBot="1">
      <c r="B44" s="1034"/>
      <c r="C44" s="857"/>
      <c r="D44" s="845" t="s">
        <v>1516</v>
      </c>
      <c r="E44" s="24" t="s">
        <v>1517</v>
      </c>
      <c r="F44" s="4"/>
      <c r="G44" s="4"/>
      <c r="H44" s="4"/>
      <c r="I44" s="4"/>
      <c r="J44" s="4"/>
      <c r="K44" s="4"/>
    </row>
    <row r="45" spans="2:11" ht="15.75" thickBot="1">
      <c r="B45" s="1"/>
      <c r="C45" s="55"/>
      <c r="D45" s="4"/>
      <c r="E45" s="4"/>
      <c r="F45" s="4"/>
      <c r="G45" s="4"/>
      <c r="H45" s="4"/>
      <c r="I45" s="4"/>
      <c r="J45" s="4"/>
      <c r="K45" s="4"/>
    </row>
    <row r="46" spans="2:11" ht="15.75" thickBot="1">
      <c r="B46" s="1029" t="s">
        <v>1518</v>
      </c>
      <c r="C46" s="1030"/>
      <c r="D46" s="1030"/>
      <c r="E46" s="1031"/>
      <c r="F46" s="4"/>
      <c r="G46" s="4"/>
      <c r="H46" s="4"/>
      <c r="I46" s="4"/>
      <c r="J46" s="4"/>
      <c r="K46" s="4"/>
    </row>
    <row r="47" spans="2:11" ht="15.75" thickBot="1">
      <c r="B47" s="1032">
        <v>1</v>
      </c>
      <c r="C47" s="890"/>
      <c r="D47" s="37" t="s">
        <v>1509</v>
      </c>
      <c r="E47" s="299" t="s">
        <v>1519</v>
      </c>
      <c r="F47" s="4"/>
      <c r="G47" s="4"/>
      <c r="H47" s="4"/>
      <c r="I47" s="4"/>
      <c r="J47" s="4"/>
      <c r="K47" s="4"/>
    </row>
    <row r="48" spans="2:11" ht="15.75" thickBot="1">
      <c r="B48" s="1033"/>
      <c r="C48" s="890"/>
      <c r="D48" s="845" t="s">
        <v>10</v>
      </c>
      <c r="E48" s="299" t="s">
        <v>1616</v>
      </c>
      <c r="F48" s="4"/>
      <c r="G48" s="4"/>
      <c r="H48" s="4"/>
      <c r="I48" s="4"/>
      <c r="J48" s="4"/>
      <c r="K48" s="4"/>
    </row>
    <row r="49" spans="2:11" ht="15.75" thickBot="1">
      <c r="B49" s="1033"/>
      <c r="C49" s="890"/>
      <c r="D49" s="845" t="s">
        <v>1512</v>
      </c>
      <c r="E49" s="211"/>
      <c r="F49" s="4"/>
      <c r="G49" s="4"/>
      <c r="H49" s="4"/>
      <c r="I49" s="4"/>
      <c r="J49" s="4"/>
      <c r="K49" s="4"/>
    </row>
    <row r="50" spans="2:11" ht="15.75" thickBot="1">
      <c r="B50" s="1033"/>
      <c r="C50" s="890"/>
      <c r="D50" s="845" t="s">
        <v>13</v>
      </c>
      <c r="E50" s="211"/>
      <c r="F50" s="4"/>
      <c r="G50" s="4"/>
      <c r="H50" s="4"/>
      <c r="I50" s="4"/>
      <c r="J50" s="4"/>
      <c r="K50" s="4"/>
    </row>
    <row r="51" spans="2:11" ht="15.75" thickBot="1">
      <c r="B51" s="1033"/>
      <c r="C51" s="890"/>
      <c r="D51" s="845" t="s">
        <v>16</v>
      </c>
      <c r="E51" s="211"/>
      <c r="F51" s="4"/>
      <c r="G51" s="4"/>
      <c r="H51" s="4"/>
      <c r="I51" s="4"/>
      <c r="J51" s="4"/>
      <c r="K51" s="4"/>
    </row>
    <row r="52" spans="2:11" ht="15.75" thickBot="1">
      <c r="B52" s="1033"/>
      <c r="C52" s="890"/>
      <c r="D52" s="845" t="s">
        <v>19</v>
      </c>
      <c r="E52" s="211"/>
      <c r="F52" s="4"/>
      <c r="G52" s="4"/>
      <c r="H52" s="4"/>
      <c r="I52" s="4"/>
      <c r="J52" s="4"/>
      <c r="K52" s="4"/>
    </row>
    <row r="53" spans="2:11" ht="15.75" thickBot="1">
      <c r="B53" s="1034"/>
      <c r="C53" s="857"/>
      <c r="D53" s="845" t="s">
        <v>1516</v>
      </c>
      <c r="E53" s="211"/>
      <c r="F53" s="4"/>
      <c r="G53" s="4"/>
      <c r="H53" s="4"/>
      <c r="I53" s="4"/>
      <c r="J53" s="4"/>
      <c r="K53" s="4"/>
    </row>
    <row r="54" spans="2:11" ht="15.75" thickBot="1">
      <c r="B54" s="1"/>
      <c r="C54" s="55"/>
      <c r="D54" s="4"/>
      <c r="E54" s="4"/>
      <c r="F54" s="4"/>
      <c r="G54" s="4"/>
      <c r="H54" s="4"/>
      <c r="I54" s="4"/>
      <c r="J54" s="4"/>
      <c r="K54" s="4"/>
    </row>
    <row r="55" spans="2:11" ht="15" customHeight="1" thickBot="1">
      <c r="B55" s="846" t="s">
        <v>1521</v>
      </c>
      <c r="C55" s="847"/>
      <c r="D55" s="847"/>
      <c r="E55" s="848"/>
      <c r="F55" s="4"/>
      <c r="G55" s="4"/>
      <c r="H55" s="4"/>
      <c r="I55" s="4"/>
      <c r="J55" s="4"/>
      <c r="K55" s="4"/>
    </row>
    <row r="56" spans="2:11" ht="24.75" thickBot="1">
      <c r="B56" s="839" t="s">
        <v>1522</v>
      </c>
      <c r="C56" s="845" t="s">
        <v>1523</v>
      </c>
      <c r="D56" s="845" t="s">
        <v>1524</v>
      </c>
      <c r="E56" s="845" t="s">
        <v>1525</v>
      </c>
      <c r="F56" s="4"/>
      <c r="G56" s="4"/>
      <c r="H56" s="4"/>
      <c r="I56" s="4"/>
      <c r="J56" s="4"/>
    </row>
    <row r="57" spans="2:11" ht="72.75" thickBot="1">
      <c r="B57" s="38">
        <v>42401</v>
      </c>
      <c r="C57" s="845">
        <v>0.01</v>
      </c>
      <c r="D57" s="837" t="s">
        <v>2150</v>
      </c>
      <c r="E57" s="845"/>
      <c r="F57" s="4"/>
      <c r="G57" s="4"/>
      <c r="H57" s="4"/>
      <c r="I57" s="4"/>
      <c r="J57" s="4"/>
    </row>
    <row r="58" spans="2:11" ht="15.75" thickBot="1">
      <c r="B58" s="2"/>
      <c r="C58" s="70"/>
      <c r="D58" s="4"/>
      <c r="E58" s="4"/>
      <c r="F58" s="4"/>
      <c r="G58" s="4"/>
      <c r="H58" s="4"/>
      <c r="I58" s="4"/>
      <c r="J58" s="4"/>
      <c r="K58" s="4"/>
    </row>
    <row r="59" spans="2:11">
      <c r="B59" s="879" t="s">
        <v>1406</v>
      </c>
      <c r="C59" s="705"/>
      <c r="D59" s="4"/>
      <c r="E59" s="4"/>
      <c r="F59" s="4"/>
      <c r="G59" s="4"/>
      <c r="H59" s="4"/>
      <c r="I59" s="4"/>
      <c r="J59" s="4"/>
      <c r="K59" s="4"/>
    </row>
    <row r="60" spans="2:11">
      <c r="B60" s="1068"/>
      <c r="C60" s="1069"/>
      <c r="D60" s="1069"/>
      <c r="E60" s="1070"/>
      <c r="F60" s="4"/>
      <c r="G60" s="4"/>
      <c r="H60" s="4"/>
      <c r="I60" s="4"/>
      <c r="J60" s="4"/>
      <c r="K60" s="4"/>
    </row>
    <row r="61" spans="2:11">
      <c r="B61" s="1071"/>
      <c r="C61" s="1072"/>
      <c r="D61" s="1072"/>
      <c r="E61" s="1073"/>
      <c r="F61" s="4"/>
      <c r="G61" s="4"/>
      <c r="H61" s="4"/>
      <c r="I61" s="4"/>
      <c r="J61" s="4"/>
      <c r="K61" s="4"/>
    </row>
    <row r="62" spans="2:11">
      <c r="B62" s="1"/>
      <c r="C62" s="55"/>
      <c r="D62" s="4"/>
      <c r="E62" s="4"/>
      <c r="F62" s="4"/>
      <c r="G62" s="4"/>
      <c r="H62" s="4"/>
      <c r="I62" s="4"/>
      <c r="J62" s="4"/>
      <c r="K62" s="4"/>
    </row>
    <row r="63" spans="2:11" ht="15.75" thickBot="1">
      <c r="B63" s="4"/>
      <c r="D63" s="4"/>
      <c r="E63" s="4"/>
      <c r="F63" s="4"/>
      <c r="G63" s="4"/>
      <c r="H63" s="4"/>
      <c r="I63" s="4"/>
      <c r="J63" s="4"/>
      <c r="K63" s="4"/>
    </row>
    <row r="64" spans="2:11" ht="24.75" thickBot="1">
      <c r="B64" s="39" t="s">
        <v>2035</v>
      </c>
      <c r="C64" s="708"/>
      <c r="D64" s="4"/>
      <c r="E64" s="4"/>
      <c r="F64" s="4"/>
      <c r="G64" s="4"/>
      <c r="H64" s="4"/>
      <c r="I64" s="4"/>
      <c r="J64" s="4"/>
      <c r="K64" s="4"/>
    </row>
    <row r="65" spans="2:11" ht="15.75" thickBot="1">
      <c r="B65" s="31"/>
      <c r="C65" s="64"/>
      <c r="D65" s="4"/>
      <c r="E65" s="4"/>
      <c r="F65" s="4"/>
      <c r="G65" s="4"/>
      <c r="H65" s="4"/>
      <c r="I65" s="4"/>
      <c r="J65" s="4"/>
      <c r="K65" s="4"/>
    </row>
    <row r="66" spans="2:11" ht="72.75" thickBot="1">
      <c r="B66" s="40" t="s">
        <v>1528</v>
      </c>
      <c r="C66" s="878"/>
      <c r="D66" s="842" t="s">
        <v>2151</v>
      </c>
      <c r="E66" s="4"/>
      <c r="F66" s="4"/>
      <c r="G66" s="4"/>
      <c r="H66" s="4"/>
      <c r="I66" s="4"/>
      <c r="J66" s="4"/>
      <c r="K66" s="4"/>
    </row>
    <row r="67" spans="2:11">
      <c r="B67" s="1032" t="s">
        <v>1530</v>
      </c>
      <c r="C67" s="890"/>
      <c r="D67" s="836" t="s">
        <v>1531</v>
      </c>
      <c r="E67" s="4"/>
      <c r="F67" s="4"/>
      <c r="G67" s="4"/>
      <c r="H67" s="4"/>
      <c r="I67" s="4"/>
      <c r="J67" s="4"/>
      <c r="K67" s="4"/>
    </row>
    <row r="68" spans="2:11" ht="96">
      <c r="B68" s="1033"/>
      <c r="C68" s="890"/>
      <c r="D68" s="829" t="s">
        <v>2152</v>
      </c>
      <c r="E68" s="4"/>
      <c r="F68" s="4"/>
      <c r="G68" s="4"/>
      <c r="H68" s="4"/>
      <c r="I68" s="4"/>
      <c r="J68" s="4"/>
      <c r="K68" s="4"/>
    </row>
    <row r="69" spans="2:11" ht="36">
      <c r="B69" s="1033"/>
      <c r="C69" s="890"/>
      <c r="D69" s="829" t="s">
        <v>2153</v>
      </c>
      <c r="E69" s="4"/>
      <c r="F69" s="4"/>
      <c r="G69" s="4"/>
      <c r="H69" s="4"/>
      <c r="I69" s="4"/>
      <c r="J69" s="4"/>
      <c r="K69" s="4"/>
    </row>
    <row r="70" spans="2:11">
      <c r="B70" s="1033"/>
      <c r="C70" s="890"/>
      <c r="D70" s="836" t="s">
        <v>1534</v>
      </c>
      <c r="E70" s="4"/>
      <c r="F70" s="4"/>
      <c r="G70" s="4"/>
      <c r="H70" s="4"/>
      <c r="I70" s="4"/>
      <c r="J70" s="4"/>
      <c r="K70" s="4"/>
    </row>
    <row r="71" spans="2:11">
      <c r="B71" s="1033"/>
      <c r="C71" s="890"/>
      <c r="D71" s="829" t="s">
        <v>1536</v>
      </c>
      <c r="E71" s="4"/>
      <c r="F71" s="4"/>
      <c r="G71" s="4"/>
      <c r="H71" s="4"/>
      <c r="I71" s="4"/>
      <c r="J71" s="4"/>
      <c r="K71" s="4"/>
    </row>
    <row r="72" spans="2:11">
      <c r="B72" s="1033"/>
      <c r="C72" s="890"/>
      <c r="D72" s="836" t="s">
        <v>1797</v>
      </c>
      <c r="E72" s="4"/>
      <c r="F72" s="4"/>
      <c r="G72" s="4"/>
      <c r="H72" s="4"/>
      <c r="I72" s="4"/>
      <c r="J72" s="4"/>
      <c r="K72" s="4"/>
    </row>
    <row r="73" spans="2:11" ht="36">
      <c r="B73" s="1033"/>
      <c r="C73" s="890"/>
      <c r="D73" s="829" t="s">
        <v>2038</v>
      </c>
      <c r="E73" s="4"/>
      <c r="F73" s="4"/>
      <c r="G73" s="4"/>
      <c r="H73" s="4"/>
      <c r="I73" s="4"/>
      <c r="J73" s="4"/>
      <c r="K73" s="4"/>
    </row>
    <row r="74" spans="2:11">
      <c r="B74" s="1033"/>
      <c r="C74" s="890"/>
      <c r="D74" s="829" t="s">
        <v>2154</v>
      </c>
      <c r="E74" s="4"/>
      <c r="F74" s="4"/>
      <c r="G74" s="4"/>
      <c r="H74" s="4"/>
      <c r="I74" s="4"/>
      <c r="J74" s="4"/>
      <c r="K74" s="4"/>
    </row>
    <row r="75" spans="2:11" ht="15.75" thickBot="1">
      <c r="B75" s="1034"/>
      <c r="C75" s="857"/>
      <c r="D75" s="830"/>
      <c r="E75" s="4"/>
      <c r="F75" s="4"/>
      <c r="G75" s="4"/>
      <c r="H75" s="4"/>
      <c r="I75" s="4"/>
      <c r="J75" s="4"/>
      <c r="K75" s="4"/>
    </row>
    <row r="76" spans="2:11" ht="24.75" thickBot="1">
      <c r="B76" s="839" t="s">
        <v>1543</v>
      </c>
      <c r="C76" s="857"/>
      <c r="D76" s="845"/>
      <c r="E76" s="4"/>
      <c r="F76" s="4"/>
      <c r="G76" s="4"/>
      <c r="H76" s="4"/>
      <c r="I76" s="4"/>
      <c r="J76" s="4"/>
      <c r="K76" s="4"/>
    </row>
    <row r="77" spans="2:11" ht="72">
      <c r="B77" s="1032" t="s">
        <v>1544</v>
      </c>
      <c r="C77" s="890"/>
      <c r="D77" s="829" t="s">
        <v>2155</v>
      </c>
      <c r="E77" s="4"/>
      <c r="F77" s="4"/>
      <c r="G77" s="4"/>
      <c r="H77" s="4"/>
      <c r="I77" s="4"/>
      <c r="J77" s="4"/>
      <c r="K77" s="4"/>
    </row>
    <row r="78" spans="2:11" ht="132">
      <c r="B78" s="1033"/>
      <c r="C78" s="890"/>
      <c r="D78" s="829" t="s">
        <v>2156</v>
      </c>
      <c r="E78" s="4"/>
      <c r="F78" s="4"/>
      <c r="G78" s="4"/>
      <c r="H78" s="4"/>
      <c r="I78" s="4"/>
      <c r="J78" s="4"/>
      <c r="K78" s="4"/>
    </row>
    <row r="79" spans="2:11" ht="108">
      <c r="B79" s="1033"/>
      <c r="C79" s="890"/>
      <c r="D79" s="829" t="s">
        <v>2157</v>
      </c>
      <c r="E79" s="4"/>
      <c r="F79" s="4"/>
      <c r="G79" s="4"/>
      <c r="H79" s="4"/>
      <c r="I79" s="4"/>
      <c r="J79" s="4"/>
      <c r="K79" s="4"/>
    </row>
    <row r="80" spans="2:11" ht="84">
      <c r="B80" s="1033"/>
      <c r="C80" s="890"/>
      <c r="D80" s="829" t="s">
        <v>2158</v>
      </c>
      <c r="E80" s="4"/>
      <c r="F80" s="4"/>
      <c r="G80" s="4"/>
      <c r="H80" s="4"/>
      <c r="I80" s="4"/>
      <c r="J80" s="4"/>
      <c r="K80" s="4"/>
    </row>
    <row r="81" spans="2:11" ht="108">
      <c r="B81" s="1033"/>
      <c r="C81" s="890"/>
      <c r="D81" s="829" t="s">
        <v>2159</v>
      </c>
      <c r="E81" s="4"/>
      <c r="F81" s="4"/>
      <c r="G81" s="4"/>
      <c r="H81" s="4"/>
      <c r="I81" s="4"/>
      <c r="J81" s="4"/>
      <c r="K81" s="4"/>
    </row>
    <row r="82" spans="2:11" ht="60">
      <c r="B82" s="1033"/>
      <c r="C82" s="890"/>
      <c r="D82" s="829" t="s">
        <v>2160</v>
      </c>
      <c r="E82" s="4"/>
      <c r="F82" s="4"/>
      <c r="G82" s="4"/>
      <c r="H82" s="4"/>
      <c r="I82" s="4"/>
      <c r="J82" s="4"/>
      <c r="K82" s="4"/>
    </row>
    <row r="83" spans="2:11" ht="84.75" thickBot="1">
      <c r="B83" s="1034"/>
      <c r="C83" s="857"/>
      <c r="D83" s="845" t="s">
        <v>2161</v>
      </c>
      <c r="E83" s="4"/>
      <c r="F83" s="4"/>
      <c r="G83" s="4"/>
      <c r="H83" s="4"/>
      <c r="I83" s="4"/>
      <c r="J83" s="4"/>
      <c r="K83" s="4"/>
    </row>
    <row r="84" spans="2:11" ht="24">
      <c r="B84" s="1032" t="s">
        <v>1561</v>
      </c>
      <c r="C84" s="890"/>
      <c r="D84" s="836" t="s">
        <v>750</v>
      </c>
      <c r="E84" s="4"/>
      <c r="F84" s="4"/>
      <c r="G84" s="4"/>
      <c r="H84" s="4"/>
      <c r="I84" s="4"/>
      <c r="J84" s="4"/>
      <c r="K84" s="4"/>
    </row>
    <row r="85" spans="2:11">
      <c r="B85" s="1033"/>
      <c r="C85" s="890"/>
      <c r="D85" s="826"/>
      <c r="E85" s="4"/>
      <c r="F85" s="4"/>
      <c r="G85" s="4"/>
      <c r="H85" s="4"/>
      <c r="I85" s="4"/>
      <c r="J85" s="4"/>
      <c r="K85" s="4"/>
    </row>
    <row r="86" spans="2:11">
      <c r="B86" s="1033"/>
      <c r="C86" s="890"/>
      <c r="D86" s="829" t="s">
        <v>1562</v>
      </c>
      <c r="E86" s="4"/>
      <c r="F86" s="4"/>
      <c r="G86" s="4"/>
      <c r="H86" s="4"/>
      <c r="I86" s="4"/>
      <c r="J86" s="4"/>
      <c r="K86" s="4"/>
    </row>
    <row r="87" spans="2:11" ht="49.5">
      <c r="B87" s="1033"/>
      <c r="C87" s="890"/>
      <c r="D87" s="829" t="s">
        <v>2162</v>
      </c>
      <c r="E87" s="4"/>
      <c r="F87" s="4"/>
      <c r="G87" s="4"/>
      <c r="H87" s="4"/>
      <c r="I87" s="4"/>
      <c r="J87" s="4"/>
      <c r="K87" s="4"/>
    </row>
    <row r="88" spans="2:11" ht="37.5">
      <c r="B88" s="1033"/>
      <c r="C88" s="890"/>
      <c r="D88" s="829" t="s">
        <v>2163</v>
      </c>
      <c r="E88" s="4"/>
      <c r="F88" s="4"/>
      <c r="G88" s="4"/>
      <c r="H88" s="4"/>
      <c r="I88" s="4"/>
      <c r="J88" s="4"/>
      <c r="K88" s="4"/>
    </row>
    <row r="89" spans="2:11" ht="37.5">
      <c r="B89" s="1033"/>
      <c r="C89" s="890"/>
      <c r="D89" s="829" t="s">
        <v>2164</v>
      </c>
      <c r="E89" s="4"/>
      <c r="F89" s="4"/>
      <c r="G89" s="4"/>
      <c r="H89" s="4"/>
      <c r="I89" s="4"/>
      <c r="J89" s="4"/>
      <c r="K89" s="4"/>
    </row>
    <row r="90" spans="2:11" ht="84">
      <c r="B90" s="1033"/>
      <c r="C90" s="890"/>
      <c r="D90" s="41" t="s">
        <v>1762</v>
      </c>
      <c r="E90" s="4"/>
      <c r="F90" s="4"/>
      <c r="G90" s="4"/>
      <c r="H90" s="4"/>
      <c r="I90" s="4"/>
      <c r="J90" s="4"/>
      <c r="K90" s="4"/>
    </row>
    <row r="91" spans="2:11">
      <c r="B91" s="1033"/>
      <c r="C91" s="890"/>
      <c r="D91" s="836" t="s">
        <v>1726</v>
      </c>
      <c r="E91" s="4"/>
      <c r="F91" s="4"/>
      <c r="G91" s="4"/>
      <c r="H91" s="4"/>
      <c r="I91" s="4"/>
      <c r="J91" s="4"/>
      <c r="K91" s="4"/>
    </row>
    <row r="92" spans="2:11" ht="36">
      <c r="B92" s="1033"/>
      <c r="C92" s="890"/>
      <c r="D92" s="836" t="s">
        <v>2165</v>
      </c>
      <c r="E92" s="4"/>
      <c r="F92" s="4"/>
      <c r="G92" s="4"/>
      <c r="H92" s="4"/>
      <c r="I92" s="4"/>
      <c r="J92" s="4"/>
      <c r="K92" s="4"/>
    </row>
    <row r="93" spans="2:11">
      <c r="B93" s="1033"/>
      <c r="C93" s="890"/>
      <c r="D93" s="836" t="s">
        <v>2166</v>
      </c>
      <c r="E93" s="4"/>
      <c r="F93" s="4"/>
      <c r="G93" s="4"/>
      <c r="H93" s="4"/>
      <c r="I93" s="4"/>
      <c r="J93" s="4"/>
      <c r="K93" s="4"/>
    </row>
    <row r="94" spans="2:11">
      <c r="B94" s="1033"/>
      <c r="C94" s="890"/>
      <c r="D94" s="826"/>
      <c r="E94" s="4"/>
      <c r="F94" s="4"/>
      <c r="G94" s="4"/>
      <c r="H94" s="4"/>
      <c r="I94" s="4"/>
      <c r="J94" s="4"/>
      <c r="K94" s="4"/>
    </row>
    <row r="95" spans="2:11">
      <c r="B95" s="1033"/>
      <c r="C95" s="890"/>
      <c r="D95" s="829" t="s">
        <v>1562</v>
      </c>
      <c r="E95" s="4"/>
      <c r="F95" s="4"/>
      <c r="G95" s="4"/>
      <c r="H95" s="4"/>
      <c r="I95" s="4"/>
      <c r="J95" s="4"/>
      <c r="K95" s="4"/>
    </row>
    <row r="96" spans="2:11" ht="37.5">
      <c r="B96" s="1033"/>
      <c r="C96" s="890"/>
      <c r="D96" s="829" t="s">
        <v>2167</v>
      </c>
      <c r="E96" s="4"/>
      <c r="F96" s="4"/>
      <c r="G96" s="4"/>
      <c r="H96" s="4"/>
      <c r="I96" s="4"/>
      <c r="J96" s="4"/>
      <c r="K96" s="4"/>
    </row>
    <row r="97" spans="2:11" ht="62.25" thickBot="1">
      <c r="B97" s="1034"/>
      <c r="C97" s="857"/>
      <c r="D97" s="845" t="s">
        <v>2168</v>
      </c>
      <c r="E97" s="4"/>
      <c r="F97" s="4"/>
      <c r="G97" s="4"/>
      <c r="H97" s="4"/>
      <c r="I97" s="4"/>
      <c r="J97" s="4"/>
      <c r="K97" s="4"/>
    </row>
    <row r="98" spans="2:11">
      <c r="B98" s="4"/>
      <c r="D98" s="4"/>
      <c r="E98" s="4"/>
      <c r="F98" s="4"/>
      <c r="G98" s="4"/>
      <c r="H98" s="4"/>
      <c r="I98" s="4"/>
      <c r="J98" s="4"/>
      <c r="K98" s="4"/>
    </row>
    <row r="99" spans="2:11">
      <c r="B99" s="4"/>
      <c r="D99" s="4"/>
      <c r="E99" s="4"/>
      <c r="F99" s="4"/>
      <c r="G99" s="4"/>
      <c r="H99" s="4"/>
      <c r="I99" s="4"/>
      <c r="J99" s="4"/>
      <c r="K99" s="4"/>
    </row>
    <row r="100" spans="2:11">
      <c r="B100" s="4"/>
      <c r="D100" s="4"/>
      <c r="E100" s="4"/>
      <c r="F100" s="4"/>
      <c r="G100" s="4"/>
      <c r="H100" s="4"/>
      <c r="I100" s="4"/>
      <c r="J100" s="4"/>
      <c r="K100" s="4"/>
    </row>
    <row r="101" spans="2:11">
      <c r="B101" s="4"/>
      <c r="D101" s="4"/>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sheetData>
  <sheetProtection insertRows="0"/>
  <mergeCells count="25">
    <mergeCell ref="A1:P1"/>
    <mergeCell ref="A2:P2"/>
    <mergeCell ref="A3:P3"/>
    <mergeCell ref="A4:D4"/>
    <mergeCell ref="A5:P5"/>
    <mergeCell ref="B60:E61"/>
    <mergeCell ref="B67:B75"/>
    <mergeCell ref="B77:B83"/>
    <mergeCell ref="B84:B97"/>
    <mergeCell ref="D15:K15"/>
    <mergeCell ref="D23:K23"/>
    <mergeCell ref="D24:K24"/>
    <mergeCell ref="D25:K25"/>
    <mergeCell ref="D34:K34"/>
    <mergeCell ref="D35:K35"/>
    <mergeCell ref="B37:E37"/>
    <mergeCell ref="B38:B44"/>
    <mergeCell ref="B46:E46"/>
    <mergeCell ref="B47:B53"/>
    <mergeCell ref="B15:B25"/>
    <mergeCell ref="B10:D10"/>
    <mergeCell ref="F10:S10"/>
    <mergeCell ref="F11:S11"/>
    <mergeCell ref="E12:R12"/>
    <mergeCell ref="E13:R13"/>
  </mergeCells>
  <conditionalFormatting sqref="F10">
    <cfRule type="notContainsBlanks" dxfId="70" priority="4">
      <formula>LEN(TRIM(F10))&gt;0</formula>
    </cfRule>
  </conditionalFormatting>
  <conditionalFormatting sqref="F11:S11">
    <cfRule type="expression" dxfId="69" priority="2">
      <formula>E11="NO SE REPORTA"</formula>
    </cfRule>
    <cfRule type="expression" dxfId="68" priority="3">
      <formula>E10="NO APLICA"</formula>
    </cfRule>
  </conditionalFormatting>
  <conditionalFormatting sqref="E12:R12">
    <cfRule type="expression" dxfId="67" priority="1">
      <formula>E11="SI SE REPORTA"</formula>
    </cfRule>
  </conditionalFormatting>
  <dataValidations count="4">
    <dataValidation type="whole" operator="greaterThanOrEqual" allowBlank="1" showInputMessage="1" showErrorMessage="1" errorTitle="ERROR" error="Valor en PESOS (sin centavos)" sqref="G27:J32" xr:uid="{00000000-0002-0000-1700-000000000000}">
      <formula1>0</formula1>
    </dataValidation>
    <dataValidation type="whole" operator="greaterThanOrEqual" allowBlank="1" showInputMessage="1" showErrorMessage="1" errorTitle="ERROR" error="Valor en HECTAREAS (sin decimales)" sqref="E17:H20 F27:F28 F30:F32" xr:uid="{00000000-0002-0000-1700-000001000000}">
      <formula1>0</formula1>
    </dataValidation>
    <dataValidation type="list" allowBlank="1" showInputMessage="1" showErrorMessage="1" sqref="E11" xr:uid="{00000000-0002-0000-1700-000002000000}">
      <formula1>REPORTE</formula1>
    </dataValidation>
    <dataValidation type="list" allowBlank="1" showInputMessage="1" showErrorMessage="1" sqref="E10" xr:uid="{00000000-0002-0000-1700-000003000000}">
      <formula1>SI</formula1>
    </dataValidation>
  </dataValidations>
  <hyperlinks>
    <hyperlink ref="B9" location="'ANEXO 3'!A1" display="VOLVER AL INDICE" xr:uid="{00000000-0004-0000-1700-000000000000}"/>
    <hyperlink ref="E42" r:id="rId1" xr:uid="{00000000-0004-0000-17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76"/>
  <sheetViews>
    <sheetView showGridLines="0" zoomScale="98" zoomScaleNormal="98" workbookViewId="0">
      <selection activeCell="I25" sqref="I25"/>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5" style="241" customWidth="1"/>
    <col min="6" max="9" width="10.7109375" style="241"/>
    <col min="10" max="10" width="33.140625" style="241" customWidth="1"/>
    <col min="11"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751</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1" t="s">
        <v>1440</v>
      </c>
      <c r="C8" s="164">
        <v>2020</v>
      </c>
      <c r="D8" s="169">
        <f>IF(E10="NO APLICA","NO APLICA",IF(E11="NO SE REPORTA","SIN INFORMACION",+I28))</f>
        <v>0</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2169</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 customHeight="1" thickTop="1">
      <c r="B15" s="1088" t="s">
        <v>1449</v>
      </c>
      <c r="C15" s="65"/>
      <c r="D15" s="1009" t="s">
        <v>1816</v>
      </c>
      <c r="E15" s="1010"/>
      <c r="F15" s="1010"/>
      <c r="G15" s="1010"/>
      <c r="H15" s="1010"/>
      <c r="I15" s="1010"/>
      <c r="J15" s="1010"/>
      <c r="K15" s="1011"/>
    </row>
    <row r="16" spans="1:21" ht="15.75" thickBot="1">
      <c r="B16" s="1004"/>
      <c r="C16" s="68"/>
      <c r="D16" s="1174" t="s">
        <v>2170</v>
      </c>
      <c r="E16" s="1175"/>
      <c r="F16" s="1175"/>
      <c r="G16" s="1175"/>
      <c r="H16" s="1175"/>
      <c r="I16" s="1175"/>
      <c r="J16" s="1175"/>
      <c r="K16" s="1176"/>
    </row>
    <row r="17" spans="2:11" ht="15.75" thickBot="1">
      <c r="B17" s="1004"/>
      <c r="C17" s="66" t="s">
        <v>1402</v>
      </c>
      <c r="D17" s="872" t="s">
        <v>1707</v>
      </c>
      <c r="E17" s="872" t="s">
        <v>1487</v>
      </c>
      <c r="F17" s="872" t="s">
        <v>1488</v>
      </c>
      <c r="G17" s="872" t="s">
        <v>1489</v>
      </c>
      <c r="H17" s="872" t="s">
        <v>1490</v>
      </c>
      <c r="I17" s="872" t="s">
        <v>2171</v>
      </c>
      <c r="K17" s="17"/>
    </row>
    <row r="18" spans="2:11" ht="24.75" thickBot="1">
      <c r="B18" s="1004"/>
      <c r="C18" s="67" t="s">
        <v>1605</v>
      </c>
      <c r="D18" s="845" t="s">
        <v>2172</v>
      </c>
      <c r="E18" s="5">
        <v>3</v>
      </c>
      <c r="F18" s="5">
        <v>2</v>
      </c>
      <c r="G18" s="5">
        <v>5</v>
      </c>
      <c r="H18" s="5">
        <v>8</v>
      </c>
      <c r="I18" s="34">
        <f>SUM(E18:H18)</f>
        <v>18</v>
      </c>
      <c r="K18" s="17"/>
    </row>
    <row r="19" spans="2:11" ht="15.75" thickBot="1">
      <c r="B19" s="1004"/>
      <c r="C19" s="68"/>
      <c r="D19" s="1044" t="s">
        <v>2173</v>
      </c>
      <c r="E19" s="1045"/>
      <c r="F19" s="1045"/>
      <c r="G19" s="1045"/>
      <c r="H19" s="1045"/>
      <c r="I19" s="1045"/>
      <c r="J19" s="1045"/>
      <c r="K19" s="1046"/>
    </row>
    <row r="20" spans="2:11" ht="15" customHeight="1" thickBot="1">
      <c r="B20" s="838"/>
      <c r="C20" s="1089" t="s">
        <v>1402</v>
      </c>
      <c r="D20" s="1032" t="s">
        <v>1728</v>
      </c>
      <c r="E20" s="1032" t="s">
        <v>2174</v>
      </c>
      <c r="F20" s="1041" t="s">
        <v>2175</v>
      </c>
      <c r="G20" s="1042"/>
      <c r="H20" s="1042"/>
      <c r="I20" s="1042"/>
      <c r="J20" s="1043"/>
      <c r="K20" s="83"/>
    </row>
    <row r="21" spans="2:11" ht="34.5" thickBot="1">
      <c r="B21" s="838"/>
      <c r="C21" s="1090"/>
      <c r="D21" s="1033"/>
      <c r="E21" s="1034"/>
      <c r="F21" s="49" t="s">
        <v>2176</v>
      </c>
      <c r="G21" s="49" t="s">
        <v>2177</v>
      </c>
      <c r="H21" s="49" t="s">
        <v>2178</v>
      </c>
      <c r="I21" s="49" t="s">
        <v>2179</v>
      </c>
      <c r="J21" s="49" t="s">
        <v>1406</v>
      </c>
      <c r="K21" s="84"/>
    </row>
    <row r="22" spans="2:11" ht="49.5" thickBot="1">
      <c r="B22" s="838"/>
      <c r="C22" s="751"/>
      <c r="D22" s="741" t="s">
        <v>2180</v>
      </c>
      <c r="E22" s="275" t="s">
        <v>2181</v>
      </c>
      <c r="F22" s="26">
        <v>0</v>
      </c>
      <c r="G22" s="26">
        <v>0</v>
      </c>
      <c r="H22" s="26"/>
      <c r="I22" s="102">
        <f>+G22*H22</f>
        <v>0</v>
      </c>
      <c r="J22" s="276"/>
      <c r="K22" s="84"/>
    </row>
    <row r="23" spans="2:11" ht="61.5" customHeight="1" thickBot="1">
      <c r="B23" s="838"/>
      <c r="C23" s="744"/>
      <c r="D23" s="741" t="s">
        <v>2182</v>
      </c>
      <c r="E23" s="275" t="s">
        <v>2183</v>
      </c>
      <c r="F23" s="26">
        <v>0</v>
      </c>
      <c r="G23" s="26">
        <v>0</v>
      </c>
      <c r="H23" s="26"/>
      <c r="I23" s="102">
        <f t="shared" ref="I23:I27" si="0">+G23*H23</f>
        <v>0</v>
      </c>
      <c r="J23" s="24"/>
      <c r="K23" s="84"/>
    </row>
    <row r="24" spans="2:11" ht="63" customHeight="1" thickBot="1">
      <c r="B24" s="838"/>
      <c r="C24" s="744"/>
      <c r="D24" s="741" t="s">
        <v>2184</v>
      </c>
      <c r="E24" s="275" t="s">
        <v>2185</v>
      </c>
      <c r="F24" s="26">
        <v>0</v>
      </c>
      <c r="G24" s="26">
        <v>0</v>
      </c>
      <c r="H24" s="26"/>
      <c r="I24" s="102">
        <f t="shared" si="0"/>
        <v>0</v>
      </c>
      <c r="J24" s="275"/>
      <c r="K24" s="84"/>
    </row>
    <row r="25" spans="2:11" ht="133.5" thickBot="1">
      <c r="B25" s="838"/>
      <c r="C25" s="744"/>
      <c r="D25" s="741" t="s">
        <v>2186</v>
      </c>
      <c r="E25" s="275" t="s">
        <v>2187</v>
      </c>
      <c r="F25" s="26">
        <v>1</v>
      </c>
      <c r="G25" s="26">
        <v>1</v>
      </c>
      <c r="H25" s="26">
        <v>0.33329999999999999</v>
      </c>
      <c r="I25" s="102">
        <f t="shared" si="0"/>
        <v>0.33329999999999999</v>
      </c>
      <c r="J25" s="24"/>
      <c r="K25" s="84"/>
    </row>
    <row r="26" spans="2:11" ht="37.5" thickBot="1">
      <c r="B26" s="838"/>
      <c r="C26" s="222"/>
      <c r="D26" s="741" t="s">
        <v>2188</v>
      </c>
      <c r="E26" s="275" t="s">
        <v>2189</v>
      </c>
      <c r="F26" s="26">
        <v>0</v>
      </c>
      <c r="G26" s="26">
        <v>0</v>
      </c>
      <c r="H26" s="26"/>
      <c r="I26" s="102">
        <f t="shared" si="0"/>
        <v>0</v>
      </c>
      <c r="J26" s="24"/>
      <c r="K26" s="84"/>
    </row>
    <row r="27" spans="2:11" ht="15.75" thickBot="1">
      <c r="B27" s="838"/>
      <c r="C27" s="222"/>
      <c r="D27" s="25"/>
      <c r="E27" s="25"/>
      <c r="F27" s="26"/>
      <c r="G27" s="26"/>
      <c r="H27" s="26"/>
      <c r="I27" s="102">
        <f t="shared" si="0"/>
        <v>0</v>
      </c>
      <c r="J27" s="24"/>
      <c r="K27" s="84"/>
    </row>
    <row r="28" spans="2:11" ht="15.75" thickBot="1">
      <c r="B28" s="838"/>
      <c r="C28" s="67"/>
      <c r="D28" s="32" t="s">
        <v>1604</v>
      </c>
      <c r="E28" s="32"/>
      <c r="F28" s="32"/>
      <c r="G28" s="32"/>
      <c r="H28" s="849" t="str">
        <f>[1]Formulas!D20</f>
        <v>ERROR: LA SUMA DE LA COLUMNA DEBE SER 100%</v>
      </c>
      <c r="I28" s="102">
        <f>[1]Formulas!E20</f>
        <v>0</v>
      </c>
      <c r="J28" s="845"/>
      <c r="K28" s="85"/>
    </row>
    <row r="29" spans="2:11" ht="15.75" thickBot="1">
      <c r="B29" s="839"/>
      <c r="C29" s="69"/>
      <c r="D29" s="1041" t="s">
        <v>2190</v>
      </c>
      <c r="E29" s="1042"/>
      <c r="F29" s="1042"/>
      <c r="G29" s="1042"/>
      <c r="H29" s="1042"/>
      <c r="I29" s="1042"/>
      <c r="J29" s="1042"/>
      <c r="K29" s="1043"/>
    </row>
    <row r="30" spans="2:11" ht="24" customHeight="1" thickBot="1">
      <c r="B30" s="839" t="s">
        <v>1504</v>
      </c>
      <c r="C30" s="69"/>
      <c r="D30" s="1041" t="s">
        <v>2191</v>
      </c>
      <c r="E30" s="1042"/>
      <c r="F30" s="1042"/>
      <c r="G30" s="1042"/>
      <c r="H30" s="1042"/>
      <c r="I30" s="1042"/>
      <c r="J30" s="1042"/>
      <c r="K30" s="1043"/>
    </row>
    <row r="31" spans="2:11" ht="36" customHeight="1" thickBot="1">
      <c r="B31" s="839" t="s">
        <v>1506</v>
      </c>
      <c r="C31" s="69"/>
      <c r="D31" s="1041" t="s">
        <v>2192</v>
      </c>
      <c r="E31" s="1042"/>
      <c r="F31" s="1042"/>
      <c r="G31" s="1042"/>
      <c r="H31" s="1042"/>
      <c r="I31" s="1042"/>
      <c r="J31" s="1042"/>
      <c r="K31" s="1043"/>
    </row>
    <row r="32" spans="2:11" ht="15.75" thickBot="1">
      <c r="B32" s="1"/>
      <c r="C32" s="55"/>
      <c r="D32" s="4"/>
      <c r="E32" s="4"/>
      <c r="F32" s="4"/>
      <c r="G32" s="4"/>
      <c r="H32" s="4"/>
      <c r="I32" s="4"/>
      <c r="J32" s="4"/>
      <c r="K32" s="4"/>
    </row>
    <row r="33" spans="2:11" ht="24" customHeight="1" thickBot="1">
      <c r="B33" s="1029" t="s">
        <v>1508</v>
      </c>
      <c r="C33" s="1030"/>
      <c r="D33" s="1030"/>
      <c r="E33" s="1031"/>
      <c r="F33" s="4"/>
      <c r="G33" s="4"/>
      <c r="H33" s="4"/>
      <c r="I33" s="4"/>
      <c r="J33" s="4"/>
      <c r="K33" s="4"/>
    </row>
    <row r="34" spans="2:11" ht="15.75" thickBot="1">
      <c r="B34" s="1032">
        <v>1</v>
      </c>
      <c r="C34" s="890"/>
      <c r="D34" s="37" t="s">
        <v>1509</v>
      </c>
      <c r="E34" s="25" t="s">
        <v>1510</v>
      </c>
      <c r="F34" s="4"/>
      <c r="G34" s="4"/>
      <c r="H34" s="4"/>
      <c r="I34" s="4"/>
      <c r="J34" s="4"/>
      <c r="K34" s="4"/>
    </row>
    <row r="35" spans="2:11" ht="24.75" thickBot="1">
      <c r="B35" s="1033"/>
      <c r="C35" s="890"/>
      <c r="D35" s="845" t="s">
        <v>10</v>
      </c>
      <c r="E35" s="24" t="s">
        <v>1511</v>
      </c>
      <c r="F35" s="4"/>
      <c r="G35" s="4"/>
      <c r="H35" s="4"/>
      <c r="I35" s="4"/>
      <c r="J35" s="4"/>
      <c r="K35" s="4"/>
    </row>
    <row r="36" spans="2:11" ht="24.75" thickBot="1">
      <c r="B36" s="1033"/>
      <c r="C36" s="890"/>
      <c r="D36" s="845" t="s">
        <v>1512</v>
      </c>
      <c r="E36" s="24" t="s">
        <v>1615</v>
      </c>
      <c r="F36" s="4"/>
      <c r="G36" s="4"/>
      <c r="H36" s="4"/>
      <c r="I36" s="4"/>
      <c r="J36" s="4"/>
      <c r="K36" s="4"/>
    </row>
    <row r="37" spans="2:11" ht="15.75" thickBot="1">
      <c r="B37" s="1033"/>
      <c r="C37" s="890"/>
      <c r="D37" s="845" t="s">
        <v>13</v>
      </c>
      <c r="E37" s="25" t="s">
        <v>1514</v>
      </c>
      <c r="F37" s="4"/>
      <c r="G37" s="4"/>
      <c r="H37" s="4"/>
      <c r="I37" s="4"/>
      <c r="J37" s="4"/>
      <c r="K37" s="4"/>
    </row>
    <row r="38" spans="2:11" ht="30.75" thickBot="1">
      <c r="B38" s="1033"/>
      <c r="C38" s="890"/>
      <c r="D38" s="845" t="s">
        <v>16</v>
      </c>
      <c r="E38" s="752" t="s">
        <v>1515</v>
      </c>
      <c r="F38" s="4"/>
      <c r="G38" s="4"/>
      <c r="H38" s="4"/>
      <c r="I38" s="4"/>
      <c r="J38" s="4"/>
      <c r="K38" s="4"/>
    </row>
    <row r="39" spans="2:11" ht="15.75" thickBot="1">
      <c r="B39" s="1033"/>
      <c r="C39" s="890"/>
      <c r="D39" s="845" t="s">
        <v>19</v>
      </c>
      <c r="E39" s="121">
        <v>3686626</v>
      </c>
      <c r="F39" s="4"/>
      <c r="G39" s="4"/>
      <c r="H39" s="4"/>
      <c r="I39" s="4"/>
      <c r="J39" s="4"/>
      <c r="K39" s="4"/>
    </row>
    <row r="40" spans="2:11" ht="24.75" thickBot="1">
      <c r="B40" s="1034"/>
      <c r="C40" s="857"/>
      <c r="D40" s="845" t="s">
        <v>1516</v>
      </c>
      <c r="E40" s="24" t="s">
        <v>1517</v>
      </c>
      <c r="F40" s="4"/>
      <c r="G40" s="4"/>
      <c r="H40" s="4"/>
      <c r="I40" s="4"/>
      <c r="J40" s="4"/>
      <c r="K40" s="4"/>
    </row>
    <row r="41" spans="2:11" ht="15.75" thickBot="1">
      <c r="B41" s="1"/>
      <c r="C41" s="55"/>
      <c r="D41" s="4"/>
      <c r="E41" s="4"/>
      <c r="F41" s="4"/>
      <c r="G41" s="4"/>
      <c r="H41" s="4"/>
      <c r="I41" s="4"/>
      <c r="J41" s="4"/>
      <c r="K41" s="4"/>
    </row>
    <row r="42" spans="2:11" ht="15.75" thickBot="1">
      <c r="B42" s="1029" t="s">
        <v>1518</v>
      </c>
      <c r="C42" s="1030"/>
      <c r="D42" s="1030"/>
      <c r="E42" s="1031"/>
      <c r="F42" s="4"/>
      <c r="G42" s="4"/>
      <c r="H42" s="4"/>
      <c r="I42" s="4"/>
      <c r="J42" s="4"/>
      <c r="K42" s="4"/>
    </row>
    <row r="43" spans="2:11" ht="15.75" thickBot="1">
      <c r="B43" s="1032">
        <v>1</v>
      </c>
      <c r="C43" s="890"/>
      <c r="D43" s="37" t="s">
        <v>1509</v>
      </c>
      <c r="E43" s="299" t="s">
        <v>1519</v>
      </c>
      <c r="F43" s="4"/>
      <c r="G43" s="4"/>
      <c r="H43" s="4"/>
      <c r="I43" s="4"/>
      <c r="J43" s="4"/>
      <c r="K43" s="4"/>
    </row>
    <row r="44" spans="2:11" ht="15.75" thickBot="1">
      <c r="B44" s="1033"/>
      <c r="C44" s="890"/>
      <c r="D44" s="845" t="s">
        <v>10</v>
      </c>
      <c r="E44" s="299" t="s">
        <v>1520</v>
      </c>
      <c r="F44" s="4"/>
      <c r="G44" s="4"/>
      <c r="H44" s="4"/>
      <c r="I44" s="4"/>
      <c r="J44" s="4"/>
      <c r="K44" s="4"/>
    </row>
    <row r="45" spans="2:11" ht="15.75" thickBot="1">
      <c r="B45" s="1033"/>
      <c r="C45" s="890"/>
      <c r="D45" s="845" t="s">
        <v>1512</v>
      </c>
      <c r="E45" s="211"/>
      <c r="F45" s="4"/>
      <c r="G45" s="4"/>
      <c r="H45" s="4"/>
      <c r="I45" s="4"/>
      <c r="J45" s="4"/>
      <c r="K45" s="4"/>
    </row>
    <row r="46" spans="2:11" ht="15.75" thickBot="1">
      <c r="B46" s="1033"/>
      <c r="C46" s="890"/>
      <c r="D46" s="845" t="s">
        <v>13</v>
      </c>
      <c r="E46" s="211"/>
      <c r="F46" s="4"/>
      <c r="G46" s="4"/>
      <c r="H46" s="4"/>
      <c r="I46" s="4"/>
      <c r="J46" s="4"/>
      <c r="K46" s="4"/>
    </row>
    <row r="47" spans="2:11" ht="15.75" thickBot="1">
      <c r="B47" s="1033"/>
      <c r="C47" s="890"/>
      <c r="D47" s="845" t="s">
        <v>16</v>
      </c>
      <c r="E47" s="211"/>
      <c r="F47" s="4"/>
      <c r="G47" s="4"/>
      <c r="H47" s="4"/>
      <c r="I47" s="4"/>
      <c r="J47" s="4"/>
      <c r="K47" s="4"/>
    </row>
    <row r="48" spans="2:11" ht="15.75" thickBot="1">
      <c r="B48" s="1033"/>
      <c r="C48" s="890"/>
      <c r="D48" s="845" t="s">
        <v>19</v>
      </c>
      <c r="E48" s="211"/>
      <c r="F48" s="4"/>
      <c r="G48" s="4"/>
      <c r="H48" s="4"/>
      <c r="I48" s="4"/>
      <c r="J48" s="4"/>
      <c r="K48" s="4"/>
    </row>
    <row r="49" spans="2:11" ht="15.75" thickBot="1">
      <c r="B49" s="1034"/>
      <c r="C49" s="857"/>
      <c r="D49" s="845" t="s">
        <v>1516</v>
      </c>
      <c r="E49" s="211"/>
      <c r="F49" s="4"/>
      <c r="G49" s="4"/>
      <c r="H49" s="4"/>
      <c r="I49" s="4"/>
      <c r="J49" s="4"/>
      <c r="K49" s="4"/>
    </row>
    <row r="50" spans="2:11" ht="15.75" thickBot="1">
      <c r="B50" s="1"/>
      <c r="C50" s="55"/>
      <c r="D50" s="4"/>
      <c r="E50" s="4"/>
      <c r="F50" s="4"/>
      <c r="G50" s="4"/>
      <c r="H50" s="4"/>
      <c r="I50" s="4"/>
      <c r="J50" s="4"/>
      <c r="K50" s="4"/>
    </row>
    <row r="51" spans="2:11" ht="15" customHeight="1" thickBot="1">
      <c r="B51" s="846" t="s">
        <v>1521</v>
      </c>
      <c r="C51" s="847"/>
      <c r="D51" s="847"/>
      <c r="E51" s="848"/>
      <c r="G51" s="4"/>
      <c r="H51" s="4"/>
      <c r="I51" s="4"/>
      <c r="J51" s="4"/>
      <c r="K51" s="4"/>
    </row>
    <row r="52" spans="2:11" ht="24.75" thickBot="1">
      <c r="B52" s="839" t="s">
        <v>1522</v>
      </c>
      <c r="C52" s="845" t="s">
        <v>1523</v>
      </c>
      <c r="D52" s="845" t="s">
        <v>1524</v>
      </c>
      <c r="E52" s="845" t="s">
        <v>1525</v>
      </c>
      <c r="F52" s="4"/>
      <c r="G52" s="4"/>
      <c r="H52" s="4"/>
      <c r="I52" s="4"/>
      <c r="J52" s="4"/>
    </row>
    <row r="53" spans="2:11" ht="72.75" thickBot="1">
      <c r="B53" s="38">
        <v>42401</v>
      </c>
      <c r="C53" s="845">
        <v>0.01</v>
      </c>
      <c r="D53" s="845" t="s">
        <v>2193</v>
      </c>
      <c r="E53" s="845"/>
      <c r="F53" s="4"/>
      <c r="G53" s="4"/>
      <c r="H53" s="4"/>
      <c r="I53" s="4"/>
      <c r="J53" s="4"/>
    </row>
    <row r="54" spans="2:11" ht="15.75" thickBot="1">
      <c r="B54" s="1"/>
      <c r="C54" s="55"/>
      <c r="D54" s="4"/>
      <c r="E54" s="4"/>
      <c r="F54" s="4"/>
      <c r="G54" s="4"/>
      <c r="H54" s="4"/>
      <c r="I54" s="4"/>
      <c r="J54" s="4"/>
      <c r="K54" s="4"/>
    </row>
    <row r="55" spans="2:11" ht="15.75" thickBot="1">
      <c r="B55" s="879" t="s">
        <v>1406</v>
      </c>
      <c r="C55" s="705"/>
      <c r="D55" s="4"/>
      <c r="E55" s="4"/>
      <c r="F55" s="4"/>
      <c r="G55" s="4"/>
      <c r="H55" s="4"/>
      <c r="I55" s="4"/>
      <c r="J55" s="4"/>
      <c r="K55" s="4"/>
    </row>
    <row r="56" spans="2:11">
      <c r="B56" s="1177"/>
      <c r="C56" s="1178"/>
      <c r="D56" s="1178"/>
      <c r="E56" s="1179"/>
      <c r="F56" s="4"/>
      <c r="G56" s="4"/>
      <c r="H56" s="4"/>
      <c r="I56" s="4"/>
      <c r="J56" s="4"/>
      <c r="K56" s="4"/>
    </row>
    <row r="57" spans="2:11" ht="15.75" thickBot="1">
      <c r="B57" s="1180"/>
      <c r="C57" s="1181"/>
      <c r="D57" s="1181"/>
      <c r="E57" s="1182"/>
      <c r="F57" s="4"/>
      <c r="G57" s="4"/>
      <c r="H57" s="4"/>
      <c r="I57" s="4"/>
      <c r="J57" s="4"/>
      <c r="K57" s="4"/>
    </row>
    <row r="58" spans="2:11" ht="15.75" thickBot="1">
      <c r="B58" s="4"/>
      <c r="D58" s="4"/>
      <c r="E58" s="4"/>
      <c r="F58" s="4"/>
      <c r="G58" s="4"/>
      <c r="H58" s="4"/>
      <c r="I58" s="4"/>
      <c r="J58" s="4"/>
      <c r="K58" s="4"/>
    </row>
    <row r="59" spans="2:11" ht="15.75" thickBot="1">
      <c r="B59" s="1029" t="s">
        <v>2035</v>
      </c>
      <c r="C59" s="1030"/>
      <c r="D59" s="1031"/>
      <c r="E59" s="4"/>
      <c r="F59" s="4"/>
      <c r="G59" s="4"/>
      <c r="H59" s="4"/>
      <c r="I59" s="4"/>
      <c r="J59" s="4"/>
      <c r="K59" s="4"/>
    </row>
    <row r="60" spans="2:11" ht="72.75" thickBot="1">
      <c r="B60" s="839" t="s">
        <v>1528</v>
      </c>
      <c r="C60" s="857"/>
      <c r="D60" s="845" t="s">
        <v>2194</v>
      </c>
      <c r="E60" s="4"/>
      <c r="F60" s="4"/>
      <c r="G60" s="4"/>
      <c r="H60" s="4"/>
      <c r="I60" s="4"/>
      <c r="J60" s="4"/>
      <c r="K60" s="4"/>
    </row>
    <row r="61" spans="2:11">
      <c r="B61" s="1032" t="s">
        <v>1530</v>
      </c>
      <c r="C61" s="890"/>
      <c r="D61" s="836" t="s">
        <v>1531</v>
      </c>
      <c r="E61" s="4"/>
      <c r="F61" s="4"/>
      <c r="G61" s="4"/>
      <c r="H61" s="4"/>
      <c r="I61" s="4"/>
      <c r="J61" s="4"/>
      <c r="K61" s="4"/>
    </row>
    <row r="62" spans="2:11" ht="132">
      <c r="B62" s="1033"/>
      <c r="C62" s="890"/>
      <c r="D62" s="829" t="s">
        <v>2195</v>
      </c>
      <c r="E62" s="4"/>
      <c r="F62" s="4"/>
      <c r="G62" s="4"/>
      <c r="H62" s="4"/>
      <c r="I62" s="4"/>
      <c r="J62" s="4"/>
      <c r="K62" s="4"/>
    </row>
    <row r="63" spans="2:11">
      <c r="B63" s="1033"/>
      <c r="C63" s="890"/>
      <c r="D63" s="836" t="s">
        <v>1534</v>
      </c>
      <c r="E63" s="4"/>
      <c r="F63" s="4"/>
      <c r="G63" s="4"/>
      <c r="H63" s="4"/>
      <c r="I63" s="4"/>
      <c r="J63" s="4"/>
      <c r="K63" s="4"/>
    </row>
    <row r="64" spans="2:11" ht="24">
      <c r="B64" s="1033"/>
      <c r="C64" s="890"/>
      <c r="D64" s="829" t="s">
        <v>2196</v>
      </c>
      <c r="E64" s="4"/>
      <c r="F64" s="4"/>
      <c r="G64" s="4"/>
      <c r="H64" s="4"/>
      <c r="I64" s="4"/>
      <c r="J64" s="4"/>
      <c r="K64" s="4"/>
    </row>
    <row r="65" spans="2:11" ht="24">
      <c r="B65" s="1033"/>
      <c r="C65" s="890"/>
      <c r="D65" s="829" t="s">
        <v>2197</v>
      </c>
      <c r="E65" s="4"/>
      <c r="F65" s="4"/>
      <c r="G65" s="4"/>
      <c r="H65" s="4"/>
      <c r="I65" s="4"/>
      <c r="J65" s="4"/>
      <c r="K65" s="4"/>
    </row>
    <row r="66" spans="2:11" ht="24">
      <c r="B66" s="1033"/>
      <c r="C66" s="890"/>
      <c r="D66" s="829" t="s">
        <v>2198</v>
      </c>
      <c r="E66" s="4"/>
      <c r="F66" s="4"/>
      <c r="G66" s="4"/>
      <c r="H66" s="4"/>
      <c r="I66" s="4"/>
      <c r="J66" s="4"/>
      <c r="K66" s="4"/>
    </row>
    <row r="67" spans="2:11">
      <c r="B67" s="1033"/>
      <c r="C67" s="890"/>
      <c r="D67" s="829" t="s">
        <v>2199</v>
      </c>
      <c r="E67" s="4"/>
      <c r="F67" s="4"/>
      <c r="G67" s="4"/>
      <c r="H67" s="4"/>
      <c r="I67" s="4"/>
      <c r="J67" s="4"/>
      <c r="K67" s="4"/>
    </row>
    <row r="68" spans="2:11">
      <c r="B68" s="1033"/>
      <c r="C68" s="890"/>
      <c r="D68" s="829" t="s">
        <v>2200</v>
      </c>
      <c r="E68" s="4"/>
      <c r="F68" s="4"/>
      <c r="G68" s="4"/>
      <c r="H68" s="4"/>
      <c r="I68" s="4"/>
      <c r="J68" s="4"/>
      <c r="K68" s="4"/>
    </row>
    <row r="69" spans="2:11">
      <c r="B69" s="1033"/>
      <c r="C69" s="890"/>
      <c r="D69" s="829" t="s">
        <v>2201</v>
      </c>
      <c r="E69" s="4"/>
      <c r="F69" s="4"/>
      <c r="G69" s="4"/>
      <c r="H69" s="4"/>
      <c r="I69" s="4"/>
      <c r="J69" s="4"/>
      <c r="K69" s="4"/>
    </row>
    <row r="70" spans="2:11">
      <c r="B70" s="1033"/>
      <c r="C70" s="890"/>
      <c r="D70" s="836" t="s">
        <v>1797</v>
      </c>
      <c r="E70" s="4"/>
      <c r="F70" s="4"/>
      <c r="G70" s="4"/>
      <c r="H70" s="4"/>
      <c r="I70" s="4"/>
      <c r="J70" s="4"/>
      <c r="K70" s="4"/>
    </row>
    <row r="71" spans="2:11" ht="48">
      <c r="B71" s="1033"/>
      <c r="C71" s="890"/>
      <c r="D71" s="829" t="s">
        <v>2202</v>
      </c>
      <c r="E71" s="4"/>
      <c r="F71" s="4"/>
      <c r="G71" s="4"/>
      <c r="H71" s="4"/>
      <c r="I71" s="4"/>
      <c r="J71" s="4"/>
      <c r="K71" s="4"/>
    </row>
    <row r="72" spans="2:11" ht="15.75" thickBot="1">
      <c r="B72" s="1034"/>
      <c r="C72" s="857"/>
      <c r="D72" s="830"/>
      <c r="E72" s="4"/>
      <c r="F72" s="4"/>
      <c r="G72" s="4"/>
      <c r="H72" s="4"/>
      <c r="I72" s="4"/>
      <c r="J72" s="4"/>
      <c r="K72" s="4"/>
    </row>
    <row r="73" spans="2:11">
      <c r="B73" s="1032" t="s">
        <v>1543</v>
      </c>
      <c r="C73" s="854"/>
      <c r="D73" s="1032"/>
      <c r="E73" s="4"/>
      <c r="F73" s="4"/>
      <c r="G73" s="4"/>
      <c r="H73" s="4"/>
      <c r="I73" s="4"/>
      <c r="J73" s="4"/>
      <c r="K73" s="4"/>
    </row>
    <row r="74" spans="2:11" ht="15.75" thickBot="1">
      <c r="B74" s="1034"/>
      <c r="C74" s="855"/>
      <c r="D74" s="1034"/>
      <c r="E74" s="4"/>
      <c r="F74" s="4"/>
      <c r="G74" s="4"/>
      <c r="H74" s="4"/>
      <c r="I74" s="4"/>
      <c r="J74" s="4"/>
      <c r="K74" s="4"/>
    </row>
    <row r="75" spans="2:11" ht="15.75" thickBot="1">
      <c r="B75" s="31"/>
      <c r="C75" s="64"/>
      <c r="D75" s="4"/>
      <c r="E75" s="4"/>
      <c r="F75" s="4"/>
      <c r="G75" s="4"/>
      <c r="H75" s="4"/>
      <c r="I75" s="4"/>
      <c r="J75" s="4"/>
      <c r="K75" s="4"/>
    </row>
    <row r="76" spans="2:11" ht="180">
      <c r="B76" s="1032" t="s">
        <v>1544</v>
      </c>
      <c r="C76" s="856"/>
      <c r="D76" s="835" t="s">
        <v>2203</v>
      </c>
      <c r="E76" s="4"/>
      <c r="F76" s="4"/>
      <c r="G76" s="4"/>
      <c r="H76" s="4"/>
      <c r="I76" s="4"/>
      <c r="J76" s="4"/>
      <c r="K76" s="4"/>
    </row>
    <row r="77" spans="2:11" ht="204">
      <c r="B77" s="1033"/>
      <c r="C77" s="890"/>
      <c r="D77" s="829" t="s">
        <v>2204</v>
      </c>
      <c r="E77" s="4"/>
      <c r="F77" s="4"/>
      <c r="G77" s="4"/>
      <c r="H77" s="4"/>
      <c r="I77" s="4"/>
      <c r="J77" s="4"/>
      <c r="K77" s="4"/>
    </row>
    <row r="78" spans="2:11" ht="48">
      <c r="B78" s="1033"/>
      <c r="C78" s="890"/>
      <c r="D78" s="829" t="s">
        <v>2205</v>
      </c>
      <c r="E78" s="4"/>
      <c r="F78" s="4"/>
      <c r="G78" s="4"/>
      <c r="H78" s="4"/>
      <c r="I78" s="4"/>
      <c r="J78" s="4"/>
      <c r="K78" s="4"/>
    </row>
    <row r="79" spans="2:11" ht="24">
      <c r="B79" s="1033"/>
      <c r="C79" s="890"/>
      <c r="D79" s="829" t="s">
        <v>2206</v>
      </c>
      <c r="E79" s="4"/>
      <c r="F79" s="4"/>
      <c r="G79" s="4"/>
      <c r="H79" s="4"/>
      <c r="I79" s="4"/>
      <c r="J79" s="4"/>
      <c r="K79" s="4"/>
    </row>
    <row r="80" spans="2:11" ht="60">
      <c r="B80" s="1033"/>
      <c r="C80" s="890"/>
      <c r="D80" s="829" t="s">
        <v>2207</v>
      </c>
      <c r="E80" s="4"/>
      <c r="F80" s="4"/>
      <c r="G80" s="4"/>
      <c r="H80" s="4"/>
      <c r="I80" s="4"/>
      <c r="J80" s="4"/>
      <c r="K80" s="4"/>
    </row>
    <row r="81" spans="2:11" ht="24">
      <c r="B81" s="1033"/>
      <c r="C81" s="890"/>
      <c r="D81" s="829" t="s">
        <v>2208</v>
      </c>
      <c r="E81" s="4"/>
      <c r="F81" s="4"/>
      <c r="G81" s="4"/>
      <c r="H81" s="4"/>
      <c r="I81" s="4"/>
      <c r="J81" s="4"/>
      <c r="K81" s="4"/>
    </row>
    <row r="82" spans="2:11" ht="24">
      <c r="B82" s="1033"/>
      <c r="C82" s="890"/>
      <c r="D82" s="829" t="s">
        <v>2209</v>
      </c>
      <c r="E82" s="4"/>
      <c r="F82" s="4"/>
      <c r="G82" s="4"/>
      <c r="H82" s="4"/>
      <c r="I82" s="4"/>
      <c r="J82" s="4"/>
      <c r="K82" s="4"/>
    </row>
    <row r="83" spans="2:11" ht="36">
      <c r="B83" s="1033"/>
      <c r="C83" s="890"/>
      <c r="D83" s="829" t="s">
        <v>2210</v>
      </c>
      <c r="E83" s="4"/>
      <c r="F83" s="4"/>
      <c r="G83" s="4"/>
      <c r="H83" s="4"/>
      <c r="I83" s="4"/>
      <c r="J83" s="4"/>
      <c r="K83" s="4"/>
    </row>
    <row r="84" spans="2:11" ht="24">
      <c r="B84" s="1033"/>
      <c r="C84" s="890"/>
      <c r="D84" s="829" t="s">
        <v>2211</v>
      </c>
      <c r="E84" s="4"/>
      <c r="F84" s="4"/>
      <c r="G84" s="4"/>
      <c r="H84" s="4"/>
      <c r="I84" s="4"/>
      <c r="J84" s="4"/>
      <c r="K84" s="4"/>
    </row>
    <row r="85" spans="2:11" ht="24">
      <c r="B85" s="1033"/>
      <c r="C85" s="890"/>
      <c r="D85" s="829" t="s">
        <v>2212</v>
      </c>
      <c r="E85" s="4"/>
      <c r="F85" s="4"/>
      <c r="G85" s="4"/>
      <c r="H85" s="4"/>
      <c r="I85" s="4"/>
      <c r="J85" s="4"/>
      <c r="K85" s="4"/>
    </row>
    <row r="86" spans="2:11" ht="24">
      <c r="B86" s="1033"/>
      <c r="C86" s="890"/>
      <c r="D86" s="829" t="s">
        <v>2213</v>
      </c>
      <c r="E86" s="4"/>
      <c r="F86" s="4"/>
      <c r="G86" s="4"/>
      <c r="H86" s="4"/>
      <c r="I86" s="4"/>
      <c r="J86" s="4"/>
      <c r="K86" s="4"/>
    </row>
    <row r="87" spans="2:11" ht="36">
      <c r="B87" s="1033"/>
      <c r="C87" s="890"/>
      <c r="D87" s="829" t="s">
        <v>2214</v>
      </c>
      <c r="E87" s="4"/>
      <c r="F87" s="4"/>
      <c r="G87" s="4"/>
      <c r="H87" s="4"/>
      <c r="I87" s="4"/>
      <c r="J87" s="4"/>
      <c r="K87" s="4"/>
    </row>
    <row r="88" spans="2:11" ht="24">
      <c r="B88" s="1033"/>
      <c r="C88" s="890"/>
      <c r="D88" s="829" t="s">
        <v>2215</v>
      </c>
      <c r="E88" s="4"/>
      <c r="F88" s="4"/>
      <c r="G88" s="4"/>
      <c r="H88" s="4"/>
      <c r="I88" s="4"/>
      <c r="J88" s="4"/>
      <c r="K88" s="4"/>
    </row>
    <row r="89" spans="2:11" ht="60.75" thickBot="1">
      <c r="B89" s="1034"/>
      <c r="C89" s="857"/>
      <c r="D89" s="845" t="s">
        <v>2216</v>
      </c>
      <c r="E89" s="4"/>
      <c r="F89" s="4"/>
      <c r="G89" s="4"/>
      <c r="H89" s="4"/>
      <c r="I89" s="4"/>
      <c r="J89" s="4"/>
      <c r="K89" s="4"/>
    </row>
    <row r="90" spans="2:11" ht="36">
      <c r="B90" s="1032" t="s">
        <v>1561</v>
      </c>
      <c r="C90" s="890"/>
      <c r="D90" s="836" t="s">
        <v>2217</v>
      </c>
      <c r="E90" s="4"/>
      <c r="F90" s="4"/>
      <c r="G90" s="4"/>
      <c r="H90" s="4"/>
      <c r="I90" s="4"/>
      <c r="J90" s="4"/>
      <c r="K90" s="4"/>
    </row>
    <row r="91" spans="2:11" ht="36">
      <c r="B91" s="1033"/>
      <c r="C91" s="890"/>
      <c r="D91" s="829" t="s">
        <v>2218</v>
      </c>
      <c r="E91" s="4"/>
      <c r="F91" s="4"/>
      <c r="G91" s="4"/>
      <c r="H91" s="4"/>
      <c r="I91" s="4"/>
      <c r="J91" s="4"/>
      <c r="K91" s="4"/>
    </row>
    <row r="92" spans="2:11">
      <c r="B92" s="1033"/>
      <c r="C92" s="890"/>
      <c r="D92" s="826"/>
      <c r="E92" s="4"/>
      <c r="F92" s="4"/>
      <c r="G92" s="4"/>
      <c r="H92" s="4"/>
      <c r="I92" s="4"/>
      <c r="J92" s="4"/>
      <c r="K92" s="4"/>
    </row>
    <row r="93" spans="2:11">
      <c r="B93" s="1033"/>
      <c r="C93" s="890"/>
      <c r="D93" s="829" t="s">
        <v>1562</v>
      </c>
      <c r="E93" s="4"/>
      <c r="F93" s="4"/>
      <c r="G93" s="4"/>
      <c r="H93" s="4"/>
      <c r="I93" s="4"/>
      <c r="J93" s="4"/>
      <c r="K93" s="4"/>
    </row>
    <row r="94" spans="2:11" ht="37.5">
      <c r="B94" s="1033"/>
      <c r="C94" s="890"/>
      <c r="D94" s="829" t="s">
        <v>2219</v>
      </c>
      <c r="E94" s="4"/>
      <c r="F94" s="4"/>
      <c r="G94" s="4"/>
      <c r="H94" s="4"/>
      <c r="I94" s="4"/>
      <c r="J94" s="4"/>
      <c r="K94" s="4"/>
    </row>
    <row r="95" spans="2:11" ht="49.5">
      <c r="B95" s="1033"/>
      <c r="C95" s="890"/>
      <c r="D95" s="829" t="s">
        <v>2220</v>
      </c>
      <c r="E95" s="4"/>
      <c r="F95" s="4"/>
      <c r="G95" s="4"/>
      <c r="H95" s="4"/>
      <c r="I95" s="4"/>
      <c r="J95" s="4"/>
      <c r="K95" s="4"/>
    </row>
    <row r="96" spans="2:11" ht="25.5">
      <c r="B96" s="1033"/>
      <c r="C96" s="890"/>
      <c r="D96" s="829" t="s">
        <v>2221</v>
      </c>
      <c r="E96" s="4"/>
      <c r="F96" s="4"/>
      <c r="G96" s="4"/>
      <c r="H96" s="4"/>
      <c r="I96" s="4"/>
      <c r="J96" s="4"/>
      <c r="K96" s="4"/>
    </row>
    <row r="97" spans="2:11">
      <c r="B97" s="1033"/>
      <c r="C97" s="890"/>
      <c r="D97" s="829" t="s">
        <v>2222</v>
      </c>
      <c r="E97" s="4"/>
      <c r="F97" s="4"/>
      <c r="G97" s="4"/>
      <c r="H97" s="4"/>
      <c r="I97" s="4"/>
      <c r="J97" s="4"/>
      <c r="K97" s="4"/>
    </row>
    <row r="98" spans="2:11" ht="48.75" thickBot="1">
      <c r="B98" s="1034"/>
      <c r="C98" s="857"/>
      <c r="D98" s="51" t="s">
        <v>2223</v>
      </c>
      <c r="E98" s="4"/>
      <c r="F98" s="4"/>
      <c r="G98" s="4"/>
      <c r="H98" s="4"/>
      <c r="I98" s="4"/>
      <c r="J98" s="4"/>
      <c r="K98" s="4"/>
    </row>
    <row r="99" spans="2:11">
      <c r="B99" s="4"/>
      <c r="D99" s="4"/>
      <c r="E99" s="4"/>
      <c r="F99" s="4"/>
      <c r="G99" s="4"/>
      <c r="H99" s="4"/>
      <c r="I99" s="4"/>
      <c r="J99" s="4"/>
      <c r="K99" s="4"/>
    </row>
    <row r="100" spans="2:11">
      <c r="B100" s="4"/>
      <c r="D100" s="4"/>
      <c r="E100" s="4"/>
      <c r="F100" s="4"/>
      <c r="G100" s="4"/>
      <c r="H100" s="4"/>
      <c r="I100" s="4"/>
      <c r="J100" s="4"/>
      <c r="K100" s="4"/>
    </row>
    <row r="101" spans="2:11">
      <c r="B101" s="4"/>
      <c r="D101" s="4"/>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sheetData>
  <mergeCells count="32">
    <mergeCell ref="B43:B49"/>
    <mergeCell ref="B56:E57"/>
    <mergeCell ref="B59:D59"/>
    <mergeCell ref="B61:B72"/>
    <mergeCell ref="B73:B74"/>
    <mergeCell ref="D73:D74"/>
    <mergeCell ref="D29:K29"/>
    <mergeCell ref="D30:K30"/>
    <mergeCell ref="B33:E33"/>
    <mergeCell ref="B34:B40"/>
    <mergeCell ref="B42:E42"/>
    <mergeCell ref="A1:P1"/>
    <mergeCell ref="A2:P2"/>
    <mergeCell ref="A3:P3"/>
    <mergeCell ref="A4:D4"/>
    <mergeCell ref="A5:P5"/>
    <mergeCell ref="B76:B89"/>
    <mergeCell ref="B90:B98"/>
    <mergeCell ref="B10:D10"/>
    <mergeCell ref="F10:S10"/>
    <mergeCell ref="F11:S11"/>
    <mergeCell ref="E12:R12"/>
    <mergeCell ref="E13:R13"/>
    <mergeCell ref="B15:B19"/>
    <mergeCell ref="D15:K15"/>
    <mergeCell ref="D16:K16"/>
    <mergeCell ref="D19:K19"/>
    <mergeCell ref="D31:K31"/>
    <mergeCell ref="C20:C21"/>
    <mergeCell ref="D20:D21"/>
    <mergeCell ref="E20:E21"/>
    <mergeCell ref="F20:J20"/>
  </mergeCells>
  <conditionalFormatting sqref="H28">
    <cfRule type="containsText" dxfId="66" priority="5" operator="containsText" text="ERROR">
      <formula>NOT(ISERROR(SEARCH("ERROR",H28)))</formula>
    </cfRule>
  </conditionalFormatting>
  <conditionalFormatting sqref="F10">
    <cfRule type="notContainsBlanks" dxfId="65" priority="4">
      <formula>LEN(TRIM(F10))&gt;0</formula>
    </cfRule>
  </conditionalFormatting>
  <conditionalFormatting sqref="F11:S11">
    <cfRule type="expression" dxfId="64" priority="2">
      <formula>E11="NO SE REPORTA"</formula>
    </cfRule>
    <cfRule type="expression" dxfId="63" priority="3">
      <formula>E10="NO APLICA"</formula>
    </cfRule>
  </conditionalFormatting>
  <conditionalFormatting sqref="E12:R12">
    <cfRule type="expression" dxfId="62"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800-000000000000}">
      <formula1>0</formula1>
    </dataValidation>
    <dataValidation type="decimal" allowBlank="1" showInputMessage="1" showErrorMessage="1" errorTitle="ERROR" error="Escriba un valor entre 0% y 100%" sqref="F22:H27" xr:uid="{00000000-0002-0000-1800-000001000000}">
      <formula1>0</formula1>
      <formula2>1</formula2>
    </dataValidation>
    <dataValidation allowBlank="1" showInputMessage="1" showErrorMessage="1" sqref="H28 I22:I28" xr:uid="{00000000-0002-0000-1800-000002000000}"/>
    <dataValidation type="list" allowBlank="1" showInputMessage="1" showErrorMessage="1" sqref="E11" xr:uid="{00000000-0002-0000-1800-000003000000}">
      <formula1>REPORTE</formula1>
    </dataValidation>
    <dataValidation type="list" allowBlank="1" showInputMessage="1" showErrorMessage="1" sqref="E10" xr:uid="{00000000-0002-0000-1800-000004000000}">
      <formula1>SI</formula1>
    </dataValidation>
  </dataValidations>
  <hyperlinks>
    <hyperlink ref="B9" location="'ANEXO 3'!A1" display="VOLVER AL INDICE" xr:uid="{00000000-0004-0000-1800-000000000000}"/>
    <hyperlink ref="E38" r:id="rId1" xr:uid="{00000000-0004-0000-1800-000001000000}"/>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U179"/>
  <sheetViews>
    <sheetView showGridLines="0" zoomScale="98" zoomScaleNormal="98" workbookViewId="0">
      <selection activeCell="E4" sqref="E4"/>
    </sheetView>
  </sheetViews>
  <sheetFormatPr defaultColWidth="10.7109375" defaultRowHeight="15"/>
  <cols>
    <col min="1" max="1" width="1.85546875" customWidth="1"/>
    <col min="2" max="2" width="12.85546875" customWidth="1"/>
    <col min="3" max="3" width="5" style="63" bestFit="1" customWidth="1"/>
    <col min="4" max="4" width="34.85546875" customWidth="1"/>
    <col min="5" max="5" width="12.140625" customWidth="1"/>
  </cols>
  <sheetData>
    <row r="1" spans="1:21" s="333" customFormat="1" ht="100.5" customHeight="1" thickBot="1">
      <c r="A1" s="992"/>
      <c r="B1" s="993"/>
      <c r="C1" s="993"/>
      <c r="D1" s="993"/>
      <c r="E1" s="993"/>
      <c r="F1" s="993"/>
      <c r="G1" s="993"/>
      <c r="H1" s="993"/>
      <c r="I1" s="993"/>
      <c r="J1" s="993"/>
      <c r="K1" s="993"/>
      <c r="L1" s="993"/>
      <c r="M1" s="993"/>
      <c r="N1" s="993"/>
      <c r="O1" s="993"/>
      <c r="P1" s="994"/>
      <c r="Q1" s="241"/>
      <c r="R1" s="241"/>
    </row>
    <row r="2" spans="1:21"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334" customFormat="1" ht="16.5" thickBot="1">
      <c r="A3" s="995" t="s">
        <v>1401</v>
      </c>
      <c r="B3" s="996"/>
      <c r="C3" s="996"/>
      <c r="D3" s="996"/>
      <c r="E3" s="996"/>
      <c r="F3" s="996"/>
      <c r="G3" s="996"/>
      <c r="H3" s="996"/>
      <c r="I3" s="996"/>
      <c r="J3" s="996"/>
      <c r="K3" s="996"/>
      <c r="L3" s="996"/>
      <c r="M3" s="996"/>
      <c r="N3" s="996"/>
      <c r="O3" s="996"/>
      <c r="P3" s="997"/>
      <c r="Q3" s="241"/>
      <c r="R3" s="241"/>
    </row>
    <row r="4" spans="1:21" s="334" customFormat="1" ht="16.5" thickBot="1">
      <c r="A4" s="998" t="s">
        <v>55</v>
      </c>
      <c r="B4" s="999"/>
      <c r="C4" s="999"/>
      <c r="D4" s="999"/>
      <c r="E4" s="370" t="str">
        <f>'Datos Generales'!C6</f>
        <v>2020-II</v>
      </c>
      <c r="F4" s="370"/>
      <c r="G4" s="370"/>
      <c r="H4" s="370"/>
      <c r="I4" s="370"/>
      <c r="J4" s="370"/>
      <c r="K4" s="370"/>
      <c r="L4" s="372"/>
      <c r="M4" s="372"/>
      <c r="N4" s="372"/>
      <c r="O4" s="372"/>
      <c r="P4" s="373"/>
      <c r="Q4" s="241"/>
      <c r="R4" s="241"/>
    </row>
    <row r="5" spans="1:21" s="177" customFormat="1" ht="16.5" customHeight="1" thickBot="1">
      <c r="A5" s="995" t="s">
        <v>752</v>
      </c>
      <c r="B5" s="996"/>
      <c r="C5" s="996"/>
      <c r="D5" s="996"/>
      <c r="E5" s="996"/>
      <c r="F5" s="996"/>
      <c r="G5" s="996"/>
      <c r="H5" s="996"/>
      <c r="I5" s="996"/>
      <c r="J5" s="996"/>
      <c r="K5" s="996"/>
      <c r="L5" s="996"/>
      <c r="M5" s="996"/>
      <c r="N5" s="996"/>
      <c r="O5" s="996"/>
      <c r="P5" s="997"/>
    </row>
    <row r="6" spans="1:21">
      <c r="A6" s="241"/>
      <c r="B6" s="1" t="s">
        <v>1437</v>
      </c>
      <c r="C6" s="55"/>
      <c r="D6" s="4"/>
      <c r="E6" s="53"/>
      <c r="F6" s="4" t="s">
        <v>1438</v>
      </c>
      <c r="G6" s="4"/>
      <c r="H6" s="4"/>
      <c r="I6" s="4"/>
      <c r="J6" s="4"/>
      <c r="K6" s="4"/>
      <c r="L6" s="241"/>
      <c r="M6" s="241"/>
      <c r="N6" s="241"/>
      <c r="O6" s="241"/>
      <c r="P6" s="241"/>
      <c r="Q6" s="241"/>
      <c r="R6" s="241"/>
      <c r="S6" s="241"/>
      <c r="T6" s="241"/>
      <c r="U6" s="241"/>
    </row>
    <row r="7" spans="1:21" ht="15.75" thickBot="1">
      <c r="A7" s="241"/>
      <c r="B7" s="54"/>
      <c r="C7" s="56"/>
      <c r="D7" s="4"/>
      <c r="E7" s="13"/>
      <c r="F7" s="4" t="s">
        <v>1439</v>
      </c>
      <c r="G7" s="4"/>
      <c r="H7" s="4"/>
      <c r="I7" s="4"/>
      <c r="J7" s="4"/>
      <c r="K7" s="4"/>
      <c r="L7" s="241"/>
      <c r="M7" s="241"/>
      <c r="N7" s="241"/>
      <c r="O7" s="241"/>
      <c r="P7" s="241"/>
      <c r="Q7" s="241"/>
      <c r="R7" s="241"/>
      <c r="S7" s="241"/>
      <c r="T7" s="241"/>
      <c r="U7" s="241"/>
    </row>
    <row r="8" spans="1:21" ht="15.75" thickBot="1">
      <c r="A8" s="241"/>
      <c r="B8" s="132" t="s">
        <v>1440</v>
      </c>
      <c r="C8" s="164">
        <v>2020</v>
      </c>
      <c r="D8" s="169">
        <f>IF(E10="NO APLICA","NO APLICA",IF(E11="NO SE REPORTA","SIN INFORMACION",+E22))</f>
        <v>1</v>
      </c>
      <c r="E8" s="165"/>
      <c r="F8" s="4" t="s">
        <v>1441</v>
      </c>
      <c r="G8" s="4"/>
      <c r="H8" s="4"/>
      <c r="I8" s="4"/>
      <c r="J8" s="4"/>
      <c r="K8" s="4"/>
      <c r="L8" s="241"/>
      <c r="M8" s="241"/>
      <c r="N8" s="241"/>
      <c r="O8" s="241"/>
      <c r="P8" s="241"/>
      <c r="Q8" s="241"/>
      <c r="R8" s="241"/>
      <c r="S8" s="241"/>
      <c r="T8" s="241"/>
      <c r="U8" s="241"/>
    </row>
    <row r="9" spans="1:21">
      <c r="A9" s="241"/>
      <c r="B9" s="300" t="s">
        <v>1442</v>
      </c>
      <c r="D9" s="4"/>
      <c r="E9" s="4"/>
      <c r="F9" s="4"/>
      <c r="G9" s="4"/>
      <c r="H9" s="4"/>
      <c r="I9" s="4"/>
      <c r="J9" s="4"/>
      <c r="K9" s="4"/>
      <c r="L9" s="241"/>
      <c r="M9" s="241"/>
      <c r="N9" s="241"/>
      <c r="O9" s="241"/>
      <c r="P9" s="241"/>
      <c r="Q9" s="241"/>
      <c r="R9" s="241"/>
      <c r="S9" s="241"/>
      <c r="T9" s="241"/>
      <c r="U9" s="241"/>
    </row>
    <row r="10" spans="1:21" s="241" customFormat="1">
      <c r="A10" s="177"/>
      <c r="B10" s="1108" t="s">
        <v>1443</v>
      </c>
      <c r="C10" s="1108"/>
      <c r="D10" s="1108"/>
      <c r="E10" s="306" t="s">
        <v>1444</v>
      </c>
      <c r="F10" s="110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10"/>
      <c r="H10" s="1110"/>
      <c r="I10" s="1110"/>
      <c r="J10" s="1110"/>
      <c r="K10" s="1110"/>
      <c r="L10" s="1110"/>
      <c r="M10" s="1110"/>
      <c r="N10" s="1110"/>
      <c r="O10" s="1110"/>
      <c r="P10" s="1110"/>
      <c r="Q10" s="1110"/>
      <c r="R10" s="1110"/>
      <c r="S10" s="1110"/>
      <c r="T10" s="302"/>
      <c r="U10" s="302"/>
    </row>
    <row r="11" spans="1:21" s="241" customFormat="1" ht="14.45" customHeight="1">
      <c r="A11" s="177"/>
      <c r="B11" s="303"/>
      <c r="C11" s="304"/>
      <c r="D11" s="305" t="str">
        <f>IF(E10="SI APLICA","¿El indicador no se reporta por limitaciones de información disponible? ","")</f>
        <v xml:space="preserve">¿El indicador no se reporta por limitaciones de información disponible? </v>
      </c>
      <c r="E11" s="307" t="s">
        <v>1445</v>
      </c>
      <c r="F11" s="1111"/>
      <c r="G11" s="1112"/>
      <c r="H11" s="1112"/>
      <c r="I11" s="1112"/>
      <c r="J11" s="1112"/>
      <c r="K11" s="1112"/>
      <c r="L11" s="1112"/>
      <c r="M11" s="1112"/>
      <c r="N11" s="1112"/>
      <c r="O11" s="1112"/>
      <c r="P11" s="1112"/>
      <c r="Q11" s="1112"/>
      <c r="R11" s="1112"/>
      <c r="S11" s="1112"/>
    </row>
    <row r="12" spans="1:21" s="241" customFormat="1" ht="23.45" customHeight="1">
      <c r="A12" s="177"/>
      <c r="B12" s="300"/>
      <c r="C12" s="206"/>
      <c r="D12" s="305" t="str">
        <f>IF(E11="SI SE REPORTA","¿Qué programas o proyectos del Plan de Acción están asociados al indicador? ","")</f>
        <v xml:space="preserve">¿Qué programas o proyectos del Plan de Acción están asociados al indicador? </v>
      </c>
      <c r="E12" s="1113" t="s">
        <v>2224</v>
      </c>
      <c r="F12" s="1113"/>
      <c r="G12" s="1113"/>
      <c r="H12" s="1113"/>
      <c r="I12" s="1113"/>
      <c r="J12" s="1113"/>
      <c r="K12" s="1113"/>
      <c r="L12" s="1113"/>
      <c r="M12" s="1113"/>
      <c r="N12" s="1113"/>
      <c r="O12" s="1113"/>
      <c r="P12" s="1113"/>
      <c r="Q12" s="1113"/>
      <c r="R12" s="1113"/>
    </row>
    <row r="13" spans="1:21" s="241" customFormat="1" ht="21.95" customHeight="1">
      <c r="A13" s="177"/>
      <c r="B13" s="300"/>
      <c r="C13" s="206"/>
      <c r="D13" s="305" t="s">
        <v>1447</v>
      </c>
      <c r="E13" s="1057"/>
      <c r="F13" s="1058"/>
      <c r="G13" s="1058"/>
      <c r="H13" s="1058"/>
      <c r="I13" s="1058"/>
      <c r="J13" s="1058"/>
      <c r="K13" s="1058"/>
      <c r="L13" s="1058"/>
      <c r="M13" s="1058"/>
      <c r="N13" s="1058"/>
      <c r="O13" s="1058"/>
      <c r="P13" s="1058"/>
      <c r="Q13" s="1058"/>
      <c r="R13" s="1059"/>
    </row>
    <row r="14" spans="1:21" s="241" customFormat="1" ht="6.95" customHeight="1" thickBot="1">
      <c r="B14" s="300"/>
      <c r="C14" s="63"/>
      <c r="D14" s="4"/>
      <c r="E14" s="4"/>
      <c r="F14" s="4"/>
      <c r="G14" s="4"/>
      <c r="H14" s="4"/>
      <c r="I14" s="4"/>
      <c r="J14" s="4"/>
      <c r="K14" s="4"/>
    </row>
    <row r="15" spans="1:21" ht="15.75" thickBot="1">
      <c r="A15" s="241"/>
      <c r="B15" s="1032" t="s">
        <v>1449</v>
      </c>
      <c r="C15" s="65"/>
      <c r="D15" s="1009" t="s">
        <v>1450</v>
      </c>
      <c r="E15" s="1010"/>
      <c r="F15" s="1010"/>
      <c r="G15" s="1010"/>
      <c r="H15" s="1010"/>
      <c r="I15" s="1011"/>
      <c r="J15" s="4"/>
      <c r="K15" s="4"/>
      <c r="L15" s="241"/>
      <c r="M15" s="241"/>
      <c r="N15" s="241"/>
      <c r="O15" s="241"/>
      <c r="P15" s="241"/>
      <c r="Q15" s="241"/>
      <c r="R15" s="241"/>
      <c r="S15" s="241"/>
      <c r="T15" s="241"/>
      <c r="U15" s="241"/>
    </row>
    <row r="16" spans="1:21" ht="36.75" thickBot="1">
      <c r="A16" s="241"/>
      <c r="B16" s="1033"/>
      <c r="C16" s="890"/>
      <c r="D16" s="842" t="s">
        <v>2225</v>
      </c>
      <c r="E16" s="5">
        <v>23</v>
      </c>
      <c r="F16" s="4"/>
      <c r="G16" s="4"/>
      <c r="H16" s="4"/>
      <c r="I16" s="17"/>
      <c r="J16" s="4"/>
      <c r="K16" s="4"/>
      <c r="L16" s="241"/>
      <c r="M16" s="241"/>
      <c r="N16" s="241"/>
      <c r="O16" s="241"/>
      <c r="P16" s="241"/>
      <c r="Q16" s="241"/>
      <c r="R16" s="241"/>
      <c r="S16" s="241"/>
      <c r="T16" s="241"/>
      <c r="U16" s="241"/>
    </row>
    <row r="17" spans="2:11" ht="72.75" thickBot="1">
      <c r="B17" s="1033"/>
      <c r="C17" s="890"/>
      <c r="D17" s="845" t="s">
        <v>2226</v>
      </c>
      <c r="E17" s="5">
        <v>23</v>
      </c>
      <c r="F17" s="4"/>
      <c r="G17" s="4"/>
      <c r="H17" s="4"/>
      <c r="I17" s="17"/>
      <c r="J17" s="4"/>
      <c r="K17" s="4"/>
    </row>
    <row r="18" spans="2:11" ht="15.75" thickBot="1">
      <c r="B18" s="1033"/>
      <c r="C18" s="68"/>
      <c r="D18" s="1044"/>
      <c r="E18" s="1045"/>
      <c r="F18" s="1045"/>
      <c r="G18" s="1045"/>
      <c r="H18" s="1045"/>
      <c r="I18" s="1046"/>
      <c r="J18" s="4"/>
      <c r="K18" s="4"/>
    </row>
    <row r="19" spans="2:11" ht="15.75" thickBot="1">
      <c r="B19" s="1033"/>
      <c r="C19" s="890"/>
      <c r="D19" s="842" t="s">
        <v>1603</v>
      </c>
      <c r="E19" s="872" t="s">
        <v>1487</v>
      </c>
      <c r="F19" s="872" t="s">
        <v>1488</v>
      </c>
      <c r="G19" s="872" t="s">
        <v>1489</v>
      </c>
      <c r="H19" s="872" t="s">
        <v>1490</v>
      </c>
      <c r="I19" s="872" t="s">
        <v>1604</v>
      </c>
      <c r="J19" s="4"/>
      <c r="K19" s="4"/>
    </row>
    <row r="20" spans="2:11" ht="48.75" thickBot="1">
      <c r="B20" s="1033"/>
      <c r="C20" s="890"/>
      <c r="D20" s="845" t="s">
        <v>2227</v>
      </c>
      <c r="E20" s="5">
        <v>23</v>
      </c>
      <c r="F20" s="5">
        <v>23</v>
      </c>
      <c r="G20" s="5">
        <v>23</v>
      </c>
      <c r="H20" s="5">
        <v>23</v>
      </c>
      <c r="I20" s="34">
        <f>SUM(E20:H20)</f>
        <v>92</v>
      </c>
      <c r="J20" s="4"/>
      <c r="K20" s="4"/>
    </row>
    <row r="21" spans="2:11" ht="36.75" thickBot="1">
      <c r="B21" s="1033"/>
      <c r="C21" s="890"/>
      <c r="D21" s="845" t="s">
        <v>2228</v>
      </c>
      <c r="E21" s="5">
        <v>23</v>
      </c>
      <c r="F21" s="5"/>
      <c r="G21" s="5"/>
      <c r="H21" s="5"/>
      <c r="I21" s="34">
        <f>SUM(E21:H21)</f>
        <v>23</v>
      </c>
      <c r="J21" s="4"/>
      <c r="K21" s="4"/>
    </row>
    <row r="22" spans="2:11" ht="48.75" thickBot="1">
      <c r="B22" s="1034"/>
      <c r="C22" s="857"/>
      <c r="D22" s="845" t="s">
        <v>2229</v>
      </c>
      <c r="E22" s="99">
        <f>IFERROR(E21/E20,0)</f>
        <v>1</v>
      </c>
      <c r="F22" s="99">
        <f>IFERROR(F21/F20,0)</f>
        <v>0</v>
      </c>
      <c r="G22" s="99">
        <f>IFERROR(G21/G20,0)</f>
        <v>0</v>
      </c>
      <c r="H22" s="99">
        <f>IFERROR(H21/H20,0)</f>
        <v>0</v>
      </c>
      <c r="I22" s="99">
        <f>IFERROR(I21/I20,0)</f>
        <v>0.25</v>
      </c>
      <c r="J22" s="4"/>
      <c r="K22" s="4"/>
    </row>
    <row r="23" spans="2:11" ht="36" customHeight="1" thickBot="1">
      <c r="B23" s="839" t="s">
        <v>1504</v>
      </c>
      <c r="C23" s="69"/>
      <c r="D23" s="1041" t="s">
        <v>2230</v>
      </c>
      <c r="E23" s="1042"/>
      <c r="F23" s="1042"/>
      <c r="G23" s="1042"/>
      <c r="H23" s="1042"/>
      <c r="I23" s="1043"/>
      <c r="J23" s="4"/>
      <c r="K23" s="4"/>
    </row>
    <row r="24" spans="2:11" ht="36" customHeight="1" thickBot="1">
      <c r="B24" s="839" t="s">
        <v>1506</v>
      </c>
      <c r="C24" s="69"/>
      <c r="D24" s="1041" t="s">
        <v>1613</v>
      </c>
      <c r="E24" s="1042"/>
      <c r="F24" s="1042"/>
      <c r="G24" s="1042"/>
      <c r="H24" s="1042"/>
      <c r="I24" s="1043"/>
      <c r="J24" s="4"/>
      <c r="K24" s="4"/>
    </row>
    <row r="25" spans="2:11" ht="15.75" thickBot="1">
      <c r="B25" s="31"/>
      <c r="C25" s="64"/>
      <c r="D25" s="4"/>
      <c r="E25" s="4"/>
      <c r="F25" s="4"/>
      <c r="G25" s="4"/>
      <c r="H25" s="4"/>
      <c r="I25" s="4"/>
      <c r="J25" s="4"/>
      <c r="K25" s="4"/>
    </row>
    <row r="26" spans="2:11" ht="24" customHeight="1" thickBot="1">
      <c r="B26" s="1029" t="s">
        <v>1508</v>
      </c>
      <c r="C26" s="1030"/>
      <c r="D26" s="1030"/>
      <c r="E26" s="1031"/>
      <c r="F26" s="4"/>
      <c r="G26" s="4"/>
      <c r="H26" s="4"/>
      <c r="I26" s="4"/>
      <c r="J26" s="4"/>
      <c r="K26" s="4"/>
    </row>
    <row r="27" spans="2:11" ht="15.75" thickBot="1">
      <c r="B27" s="1032">
        <v>1</v>
      </c>
      <c r="C27" s="890"/>
      <c r="D27" s="37" t="s">
        <v>1509</v>
      </c>
      <c r="E27" s="25" t="s">
        <v>1510</v>
      </c>
      <c r="F27" s="4"/>
      <c r="G27" s="4"/>
      <c r="H27" s="4"/>
      <c r="I27" s="4"/>
      <c r="J27" s="4"/>
      <c r="K27" s="4"/>
    </row>
    <row r="28" spans="2:11" ht="36.75" thickBot="1">
      <c r="B28" s="1033"/>
      <c r="C28" s="890"/>
      <c r="D28" s="845" t="s">
        <v>10</v>
      </c>
      <c r="E28" s="24" t="s">
        <v>1643</v>
      </c>
      <c r="F28" s="4"/>
      <c r="G28" s="4"/>
      <c r="H28" s="4"/>
      <c r="I28" s="4"/>
      <c r="J28" s="4"/>
      <c r="K28" s="4"/>
    </row>
    <row r="29" spans="2:11" ht="24.75" thickBot="1">
      <c r="B29" s="1033"/>
      <c r="C29" s="890"/>
      <c r="D29" s="845" t="s">
        <v>1512</v>
      </c>
      <c r="E29" s="24" t="s">
        <v>1691</v>
      </c>
      <c r="F29" s="4"/>
      <c r="G29" s="4"/>
      <c r="H29" s="4"/>
      <c r="I29" s="4"/>
      <c r="J29" s="4"/>
      <c r="K29" s="4"/>
    </row>
    <row r="30" spans="2:11" ht="15.75" thickBot="1">
      <c r="B30" s="1033"/>
      <c r="C30" s="890"/>
      <c r="D30" s="845" t="s">
        <v>13</v>
      </c>
      <c r="E30" s="24" t="s">
        <v>1514</v>
      </c>
      <c r="F30" s="4"/>
      <c r="G30" s="4"/>
      <c r="H30" s="4"/>
      <c r="I30" s="4"/>
      <c r="J30" s="4"/>
      <c r="K30" s="4"/>
    </row>
    <row r="31" spans="2:11" ht="45.75" thickBot="1">
      <c r="B31" s="1033"/>
      <c r="C31" s="890"/>
      <c r="D31" s="845" t="s">
        <v>16</v>
      </c>
      <c r="E31" s="704" t="s">
        <v>1646</v>
      </c>
      <c r="F31" s="4"/>
      <c r="G31" s="4"/>
      <c r="H31" s="4"/>
      <c r="I31" s="4"/>
      <c r="J31" s="4"/>
      <c r="K31" s="4"/>
    </row>
    <row r="32" spans="2:11" ht="24.75" thickBot="1">
      <c r="B32" s="1033"/>
      <c r="C32" s="890"/>
      <c r="D32" s="845" t="s">
        <v>19</v>
      </c>
      <c r="E32" s="24" t="s">
        <v>1647</v>
      </c>
      <c r="F32" s="4"/>
      <c r="G32" s="4"/>
      <c r="H32" s="4"/>
      <c r="I32" s="4"/>
      <c r="J32" s="4"/>
      <c r="K32" s="4"/>
    </row>
    <row r="33" spans="2:11" ht="24.75" thickBot="1">
      <c r="B33" s="1034"/>
      <c r="C33" s="857"/>
      <c r="D33" s="845" t="s">
        <v>1516</v>
      </c>
      <c r="E33" s="24" t="s">
        <v>1517</v>
      </c>
      <c r="F33" s="4"/>
      <c r="G33" s="4"/>
      <c r="H33" s="4"/>
      <c r="I33" s="4"/>
      <c r="J33" s="4"/>
      <c r="K33" s="4"/>
    </row>
    <row r="34" spans="2:11" ht="15.75" thickBot="1">
      <c r="B34" s="1"/>
      <c r="C34" s="55"/>
      <c r="D34" s="4"/>
      <c r="E34" s="4"/>
      <c r="F34" s="4"/>
      <c r="G34" s="4"/>
      <c r="H34" s="4"/>
      <c r="I34" s="4"/>
      <c r="J34" s="4"/>
      <c r="K34" s="4"/>
    </row>
    <row r="35" spans="2:11" ht="15.75" thickBot="1">
      <c r="B35" s="1029" t="s">
        <v>1518</v>
      </c>
      <c r="C35" s="1030"/>
      <c r="D35" s="1030"/>
      <c r="E35" s="1031"/>
      <c r="F35" s="4"/>
      <c r="G35" s="4"/>
      <c r="H35" s="4"/>
      <c r="I35" s="4"/>
      <c r="J35" s="4"/>
      <c r="K35" s="4"/>
    </row>
    <row r="36" spans="2:11" ht="15.75" thickBot="1">
      <c r="B36" s="1032">
        <v>1</v>
      </c>
      <c r="C36" s="890"/>
      <c r="D36" s="37" t="s">
        <v>1509</v>
      </c>
      <c r="E36" s="299" t="s">
        <v>1519</v>
      </c>
      <c r="F36" s="4"/>
      <c r="G36" s="4"/>
      <c r="H36" s="4"/>
      <c r="I36" s="4"/>
      <c r="J36" s="4"/>
      <c r="K36" s="4"/>
    </row>
    <row r="37" spans="2:11" ht="15.75" thickBot="1">
      <c r="B37" s="1033"/>
      <c r="C37" s="890"/>
      <c r="D37" s="845" t="s">
        <v>10</v>
      </c>
      <c r="E37" s="299" t="s">
        <v>1616</v>
      </c>
      <c r="F37" s="4"/>
      <c r="G37" s="4"/>
      <c r="H37" s="4"/>
      <c r="I37" s="4"/>
      <c r="J37" s="4"/>
      <c r="K37" s="4"/>
    </row>
    <row r="38" spans="2:11" ht="15.75" thickBot="1">
      <c r="B38" s="1033"/>
      <c r="C38" s="890"/>
      <c r="D38" s="845" t="s">
        <v>1512</v>
      </c>
      <c r="E38" s="211"/>
      <c r="F38" s="4"/>
      <c r="G38" s="4"/>
      <c r="H38" s="4"/>
      <c r="I38" s="4"/>
      <c r="J38" s="4"/>
      <c r="K38" s="4"/>
    </row>
    <row r="39" spans="2:11" ht="15.75" thickBot="1">
      <c r="B39" s="1033"/>
      <c r="C39" s="890"/>
      <c r="D39" s="845" t="s">
        <v>13</v>
      </c>
      <c r="E39" s="211"/>
      <c r="F39" s="4"/>
      <c r="G39" s="4"/>
      <c r="H39" s="4"/>
      <c r="I39" s="4"/>
      <c r="J39" s="4"/>
      <c r="K39" s="4"/>
    </row>
    <row r="40" spans="2:11" ht="15.75" thickBot="1">
      <c r="B40" s="1033"/>
      <c r="C40" s="890"/>
      <c r="D40" s="845" t="s">
        <v>16</v>
      </c>
      <c r="E40" s="211"/>
      <c r="F40" s="4"/>
      <c r="G40" s="4"/>
      <c r="H40" s="4"/>
      <c r="I40" s="4"/>
      <c r="J40" s="4"/>
      <c r="K40" s="4"/>
    </row>
    <row r="41" spans="2:11" ht="15.75" thickBot="1">
      <c r="B41" s="1033"/>
      <c r="C41" s="890"/>
      <c r="D41" s="845" t="s">
        <v>19</v>
      </c>
      <c r="E41" s="211"/>
      <c r="F41" s="4"/>
      <c r="G41" s="4"/>
      <c r="H41" s="4"/>
      <c r="I41" s="4"/>
      <c r="J41" s="4"/>
      <c r="K41" s="4"/>
    </row>
    <row r="42" spans="2:11" ht="15.75" thickBot="1">
      <c r="B42" s="1034"/>
      <c r="C42" s="857"/>
      <c r="D42" s="845" t="s">
        <v>1516</v>
      </c>
      <c r="E42" s="211"/>
      <c r="F42" s="4"/>
      <c r="G42" s="4"/>
      <c r="H42" s="4"/>
      <c r="I42" s="4"/>
      <c r="J42" s="4"/>
      <c r="K42" s="4"/>
    </row>
    <row r="43" spans="2:11" ht="15.75" thickBot="1">
      <c r="B43" s="31"/>
      <c r="C43" s="64"/>
      <c r="D43" s="4"/>
      <c r="E43" s="4"/>
      <c r="F43" s="4"/>
      <c r="G43" s="4"/>
      <c r="H43" s="4"/>
      <c r="I43" s="4"/>
      <c r="J43" s="4"/>
      <c r="K43" s="4"/>
    </row>
    <row r="44" spans="2:11" ht="15" customHeight="1" thickBot="1">
      <c r="B44" s="88" t="s">
        <v>1521</v>
      </c>
      <c r="C44" s="89"/>
      <c r="D44" s="89"/>
      <c r="E44" s="90"/>
      <c r="F44" s="241"/>
      <c r="G44" s="4"/>
      <c r="H44" s="4"/>
      <c r="I44" s="4"/>
      <c r="J44" s="4"/>
      <c r="K44" s="4"/>
    </row>
    <row r="45" spans="2:11" ht="24.75" thickBot="1">
      <c r="B45" s="839" t="s">
        <v>1522</v>
      </c>
      <c r="C45" s="845" t="s">
        <v>1523</v>
      </c>
      <c r="D45" s="845" t="s">
        <v>1524</v>
      </c>
      <c r="E45" s="845" t="s">
        <v>1525</v>
      </c>
      <c r="F45" s="4"/>
      <c r="G45" s="4"/>
      <c r="H45" s="4"/>
      <c r="I45" s="4"/>
      <c r="J45" s="4"/>
      <c r="K45" s="241"/>
    </row>
    <row r="46" spans="2:11" ht="72.75" thickBot="1">
      <c r="B46" s="38">
        <v>42401</v>
      </c>
      <c r="C46" s="845">
        <v>0.01</v>
      </c>
      <c r="D46" s="837" t="s">
        <v>2231</v>
      </c>
      <c r="E46" s="845"/>
      <c r="F46" s="4"/>
      <c r="G46" s="4"/>
      <c r="H46" s="4"/>
      <c r="I46" s="4"/>
      <c r="J46" s="4"/>
      <c r="K46" s="241"/>
    </row>
    <row r="47" spans="2:11" ht="15.75" thickBot="1">
      <c r="B47" s="2"/>
      <c r="C47" s="70"/>
      <c r="D47" s="4"/>
      <c r="E47" s="4"/>
      <c r="F47" s="4"/>
      <c r="G47" s="4"/>
      <c r="H47" s="4"/>
      <c r="I47" s="4"/>
      <c r="J47" s="4"/>
      <c r="K47" s="4"/>
    </row>
    <row r="48" spans="2:11" ht="15.75" thickBot="1">
      <c r="B48" s="879" t="s">
        <v>1406</v>
      </c>
      <c r="C48" s="71"/>
      <c r="D48" s="4"/>
      <c r="E48" s="4"/>
      <c r="F48" s="4"/>
      <c r="G48" s="4"/>
      <c r="H48" s="4"/>
      <c r="I48" s="4"/>
      <c r="J48" s="4"/>
      <c r="K48" s="4"/>
    </row>
    <row r="49" spans="2:11">
      <c r="B49" s="1177"/>
      <c r="C49" s="1178"/>
      <c r="D49" s="1178"/>
      <c r="E49" s="1179"/>
      <c r="F49" s="4"/>
      <c r="G49" s="4"/>
      <c r="H49" s="4"/>
      <c r="I49" s="4"/>
      <c r="J49" s="4"/>
      <c r="K49" s="4"/>
    </row>
    <row r="50" spans="2:11" ht="15.75" thickBot="1">
      <c r="B50" s="1180"/>
      <c r="C50" s="1181"/>
      <c r="D50" s="1181"/>
      <c r="E50" s="1182"/>
      <c r="F50" s="4"/>
      <c r="G50" s="4"/>
      <c r="H50" s="4"/>
      <c r="I50" s="4"/>
      <c r="J50" s="4"/>
      <c r="K50" s="4"/>
    </row>
    <row r="51" spans="2:11" ht="15.75" thickBot="1">
      <c r="B51" s="4"/>
      <c r="D51" s="4"/>
      <c r="E51" s="4"/>
      <c r="F51" s="4"/>
      <c r="G51" s="4"/>
      <c r="H51" s="4"/>
      <c r="I51" s="4"/>
      <c r="J51" s="4"/>
      <c r="K51" s="4"/>
    </row>
    <row r="52" spans="2:11" ht="24.75" thickBot="1">
      <c r="B52" s="39" t="s">
        <v>1527</v>
      </c>
      <c r="C52" s="72"/>
      <c r="D52" s="4"/>
      <c r="E52" s="4"/>
      <c r="F52" s="4"/>
      <c r="G52" s="4"/>
      <c r="H52" s="4"/>
      <c r="I52" s="4"/>
      <c r="J52" s="4"/>
      <c r="K52" s="4"/>
    </row>
    <row r="53" spans="2:11" ht="15.75" thickBot="1">
      <c r="B53" s="1"/>
      <c r="C53" s="55"/>
      <c r="D53" s="4"/>
      <c r="E53" s="4"/>
      <c r="F53" s="4"/>
      <c r="G53" s="4"/>
      <c r="H53" s="4"/>
      <c r="I53" s="4"/>
      <c r="J53" s="4"/>
      <c r="K53" s="4"/>
    </row>
    <row r="54" spans="2:11" ht="84.75" thickBot="1">
      <c r="B54" s="40" t="s">
        <v>1528</v>
      </c>
      <c r="C54" s="878"/>
      <c r="D54" s="842" t="s">
        <v>2232</v>
      </c>
      <c r="E54" s="4"/>
      <c r="F54" s="4"/>
      <c r="G54" s="4"/>
      <c r="H54" s="4"/>
      <c r="I54" s="4"/>
      <c r="J54" s="4"/>
      <c r="K54" s="4"/>
    </row>
    <row r="55" spans="2:11">
      <c r="B55" s="1032" t="s">
        <v>1530</v>
      </c>
      <c r="C55" s="890"/>
      <c r="D55" s="836" t="s">
        <v>1531</v>
      </c>
      <c r="E55" s="4"/>
      <c r="F55" s="4"/>
      <c r="G55" s="4"/>
      <c r="H55" s="4"/>
      <c r="I55" s="4"/>
      <c r="J55" s="4"/>
      <c r="K55" s="4"/>
    </row>
    <row r="56" spans="2:11" ht="84">
      <c r="B56" s="1033"/>
      <c r="C56" s="890"/>
      <c r="D56" s="829" t="s">
        <v>2233</v>
      </c>
      <c r="E56" s="4"/>
      <c r="F56" s="4"/>
      <c r="G56" s="4"/>
      <c r="H56" s="4"/>
      <c r="I56" s="4"/>
      <c r="J56" s="4"/>
      <c r="K56" s="4"/>
    </row>
    <row r="57" spans="2:11">
      <c r="B57" s="1033"/>
      <c r="C57" s="890"/>
      <c r="D57" s="836" t="s">
        <v>1620</v>
      </c>
      <c r="E57" s="4"/>
      <c r="F57" s="4"/>
      <c r="G57" s="4"/>
      <c r="H57" s="4"/>
      <c r="I57" s="4"/>
      <c r="J57" s="4"/>
      <c r="K57" s="4"/>
    </row>
    <row r="58" spans="2:11">
      <c r="B58" s="1033"/>
      <c r="C58" s="890"/>
      <c r="D58" s="829" t="s">
        <v>1535</v>
      </c>
      <c r="E58" s="4"/>
      <c r="F58" s="4"/>
      <c r="G58" s="4"/>
      <c r="H58" s="4"/>
      <c r="I58" s="4"/>
      <c r="J58" s="4"/>
      <c r="K58" s="4"/>
    </row>
    <row r="59" spans="2:11" ht="36">
      <c r="B59" s="1033"/>
      <c r="C59" s="890"/>
      <c r="D59" s="829" t="s">
        <v>2234</v>
      </c>
      <c r="E59" s="4"/>
      <c r="F59" s="4"/>
      <c r="G59" s="4"/>
      <c r="H59" s="4"/>
      <c r="I59" s="4"/>
      <c r="J59" s="4"/>
      <c r="K59" s="4"/>
    </row>
    <row r="60" spans="2:11" ht="24">
      <c r="B60" s="1033"/>
      <c r="C60" s="890"/>
      <c r="D60" s="829" t="s">
        <v>2235</v>
      </c>
      <c r="E60" s="4"/>
      <c r="F60" s="4"/>
      <c r="G60" s="4"/>
      <c r="H60" s="4"/>
      <c r="I60" s="4"/>
      <c r="J60" s="4"/>
      <c r="K60" s="4"/>
    </row>
    <row r="61" spans="2:11">
      <c r="B61" s="1033"/>
      <c r="C61" s="890"/>
      <c r="D61" s="829" t="s">
        <v>2236</v>
      </c>
      <c r="E61" s="4"/>
      <c r="F61" s="4"/>
      <c r="G61" s="4"/>
      <c r="H61" s="4"/>
      <c r="I61" s="4"/>
      <c r="J61" s="4"/>
      <c r="K61" s="4"/>
    </row>
    <row r="62" spans="2:11">
      <c r="B62" s="1033"/>
      <c r="C62" s="890"/>
      <c r="D62" s="836" t="s">
        <v>1627</v>
      </c>
      <c r="E62" s="4"/>
      <c r="F62" s="4"/>
      <c r="G62" s="4"/>
      <c r="H62" s="4"/>
      <c r="I62" s="4"/>
      <c r="J62" s="4"/>
      <c r="K62" s="4"/>
    </row>
    <row r="63" spans="2:11" ht="60.75" thickBot="1">
      <c r="B63" s="1034"/>
      <c r="C63" s="857"/>
      <c r="D63" s="845" t="s">
        <v>2237</v>
      </c>
      <c r="E63" s="4"/>
      <c r="F63" s="4"/>
      <c r="G63" s="4"/>
      <c r="H63" s="4"/>
      <c r="I63" s="4"/>
      <c r="J63" s="4"/>
      <c r="K63" s="4"/>
    </row>
    <row r="64" spans="2:11" ht="24.75" thickBot="1">
      <c r="B64" s="839" t="s">
        <v>1543</v>
      </c>
      <c r="C64" s="857"/>
      <c r="D64" s="845"/>
      <c r="E64" s="4"/>
      <c r="F64" s="4"/>
      <c r="G64" s="4"/>
      <c r="H64" s="4"/>
      <c r="I64" s="4"/>
      <c r="J64" s="4"/>
      <c r="K64" s="4"/>
    </row>
    <row r="65" spans="2:11" ht="276">
      <c r="B65" s="1032" t="s">
        <v>1544</v>
      </c>
      <c r="C65" s="890"/>
      <c r="D65" s="829" t="s">
        <v>2238</v>
      </c>
      <c r="E65" s="4"/>
      <c r="F65" s="4"/>
      <c r="G65" s="4"/>
      <c r="H65" s="4"/>
      <c r="I65" s="4"/>
      <c r="J65" s="4"/>
      <c r="K65" s="4"/>
    </row>
    <row r="66" spans="2:11" ht="132">
      <c r="B66" s="1033"/>
      <c r="C66" s="890"/>
      <c r="D66" s="829" t="s">
        <v>2239</v>
      </c>
      <c r="E66" s="4"/>
      <c r="F66" s="4"/>
      <c r="G66" s="4"/>
      <c r="H66" s="4"/>
      <c r="I66" s="4"/>
      <c r="J66" s="4"/>
      <c r="K66" s="4"/>
    </row>
    <row r="67" spans="2:11" ht="72.75" thickBot="1">
      <c r="B67" s="1034"/>
      <c r="C67" s="857"/>
      <c r="D67" s="845" t="s">
        <v>2240</v>
      </c>
      <c r="E67" s="4"/>
      <c r="F67" s="4"/>
      <c r="G67" s="4"/>
      <c r="H67" s="4"/>
      <c r="I67" s="4"/>
      <c r="J67" s="4"/>
      <c r="K67" s="4"/>
    </row>
    <row r="68" spans="2:11">
      <c r="B68" s="1032" t="s">
        <v>1561</v>
      </c>
      <c r="C68" s="890"/>
      <c r="D68" s="829"/>
      <c r="E68" s="4"/>
      <c r="F68" s="4"/>
      <c r="G68" s="4"/>
      <c r="H68" s="4"/>
      <c r="I68" s="4"/>
      <c r="J68" s="4"/>
      <c r="K68" s="4"/>
    </row>
    <row r="69" spans="2:11">
      <c r="B69" s="1033"/>
      <c r="C69" s="890"/>
      <c r="D69" s="826"/>
      <c r="E69" s="4"/>
      <c r="F69" s="4"/>
      <c r="G69" s="4"/>
      <c r="H69" s="4"/>
      <c r="I69" s="4"/>
      <c r="J69" s="4"/>
      <c r="K69" s="4"/>
    </row>
    <row r="70" spans="2:11">
      <c r="B70" s="1033"/>
      <c r="C70" s="890"/>
      <c r="D70" s="829" t="s">
        <v>1562</v>
      </c>
      <c r="E70" s="4"/>
      <c r="F70" s="4"/>
      <c r="G70" s="4"/>
      <c r="H70" s="4"/>
      <c r="I70" s="4"/>
      <c r="J70" s="4"/>
      <c r="K70" s="4"/>
    </row>
    <row r="71" spans="2:11" ht="61.5">
      <c r="B71" s="1033"/>
      <c r="C71" s="890"/>
      <c r="D71" s="829" t="s">
        <v>2241</v>
      </c>
      <c r="E71" s="4"/>
      <c r="F71" s="4"/>
      <c r="G71" s="4"/>
      <c r="H71" s="4"/>
      <c r="I71" s="4"/>
      <c r="J71" s="4"/>
      <c r="K71" s="4"/>
    </row>
    <row r="72" spans="2:11" ht="49.5">
      <c r="B72" s="1033"/>
      <c r="C72" s="890"/>
      <c r="D72" s="829" t="s">
        <v>2242</v>
      </c>
      <c r="E72" s="4"/>
      <c r="F72" s="4"/>
      <c r="G72" s="4"/>
      <c r="H72" s="4"/>
      <c r="I72" s="4"/>
      <c r="J72" s="4"/>
      <c r="K72" s="4"/>
    </row>
    <row r="73" spans="2:11" ht="49.5">
      <c r="B73" s="1033"/>
      <c r="C73" s="890"/>
      <c r="D73" s="829" t="s">
        <v>2243</v>
      </c>
      <c r="E73" s="4"/>
      <c r="F73" s="4"/>
      <c r="G73" s="4"/>
      <c r="H73" s="4"/>
      <c r="I73" s="4"/>
      <c r="J73" s="4"/>
      <c r="K73" s="4"/>
    </row>
    <row r="74" spans="2:11" ht="72.75" thickBot="1">
      <c r="B74" s="1034"/>
      <c r="C74" s="857"/>
      <c r="D74" s="845" t="s">
        <v>2244</v>
      </c>
      <c r="E74" s="4"/>
      <c r="F74" s="4"/>
      <c r="G74" s="4"/>
      <c r="H74" s="4"/>
      <c r="I74" s="4"/>
      <c r="J74" s="4"/>
      <c r="K74" s="4"/>
    </row>
    <row r="75" spans="2:11">
      <c r="B75" s="4"/>
      <c r="D75" s="4"/>
      <c r="E75" s="4"/>
      <c r="F75" s="4"/>
      <c r="G75" s="4"/>
      <c r="H75" s="4"/>
      <c r="I75" s="4"/>
      <c r="J75" s="4"/>
      <c r="K75" s="4"/>
    </row>
    <row r="76" spans="2:11">
      <c r="B76" s="4"/>
      <c r="D76" s="4"/>
      <c r="E76" s="4"/>
      <c r="F76" s="4"/>
      <c r="G76" s="4"/>
      <c r="H76" s="4"/>
      <c r="I76" s="4"/>
      <c r="J76" s="4"/>
      <c r="K76" s="4"/>
    </row>
    <row r="77" spans="2:11">
      <c r="B77" s="4"/>
      <c r="D77" s="4"/>
      <c r="E77" s="4"/>
      <c r="F77" s="4"/>
      <c r="G77" s="4"/>
      <c r="H77" s="4"/>
      <c r="I77" s="4"/>
      <c r="J77" s="4"/>
      <c r="K77" s="4"/>
    </row>
    <row r="78" spans="2:11">
      <c r="B78" s="4"/>
      <c r="D78" s="4"/>
      <c r="E78" s="4"/>
      <c r="F78" s="4"/>
      <c r="G78" s="4"/>
      <c r="H78" s="4"/>
      <c r="I78" s="4"/>
      <c r="J78" s="4"/>
      <c r="K78" s="4"/>
    </row>
    <row r="79" spans="2:11">
      <c r="B79" s="4"/>
      <c r="D79" s="4"/>
      <c r="E79" s="4"/>
      <c r="F79" s="4"/>
      <c r="G79" s="4"/>
      <c r="H79" s="4"/>
      <c r="I79" s="4"/>
      <c r="J79" s="4"/>
      <c r="K79" s="4"/>
    </row>
    <row r="80" spans="2:11">
      <c r="B80" s="4"/>
      <c r="D80" s="4"/>
      <c r="E80" s="4"/>
      <c r="F80" s="4"/>
      <c r="G80" s="4"/>
      <c r="H80" s="4"/>
      <c r="I80" s="4"/>
      <c r="J80" s="4"/>
      <c r="K80" s="4"/>
    </row>
    <row r="81" spans="2:11">
      <c r="B81" s="4"/>
      <c r="D81" s="4"/>
      <c r="E81" s="4"/>
      <c r="F81" s="4"/>
      <c r="G81" s="4"/>
      <c r="H81" s="4"/>
      <c r="I81" s="4"/>
      <c r="J81" s="4"/>
      <c r="K81" s="4"/>
    </row>
    <row r="82" spans="2:11">
      <c r="B82" s="4"/>
      <c r="D82" s="4"/>
      <c r="E82" s="4"/>
      <c r="F82" s="4"/>
      <c r="G82" s="4"/>
      <c r="H82" s="4"/>
      <c r="I82" s="4"/>
      <c r="J82" s="4"/>
      <c r="K82" s="4"/>
    </row>
    <row r="83" spans="2:11">
      <c r="B83" s="4"/>
      <c r="D83" s="4"/>
      <c r="E83" s="4"/>
      <c r="F83" s="4"/>
      <c r="G83" s="4"/>
      <c r="H83" s="4"/>
      <c r="I83" s="4"/>
      <c r="J83" s="4"/>
      <c r="K83" s="4"/>
    </row>
    <row r="84" spans="2:11">
      <c r="B84" s="4"/>
      <c r="D84" s="4"/>
      <c r="E84" s="4"/>
      <c r="F84" s="4"/>
      <c r="G84" s="4"/>
      <c r="H84" s="4"/>
      <c r="I84" s="4"/>
      <c r="J84" s="4"/>
      <c r="K84" s="4"/>
    </row>
    <row r="85" spans="2:11">
      <c r="B85" s="4"/>
      <c r="D85" s="4"/>
      <c r="E85" s="4"/>
      <c r="F85" s="4"/>
      <c r="G85" s="4"/>
      <c r="H85" s="4"/>
      <c r="I85" s="4"/>
      <c r="J85" s="4"/>
      <c r="K85" s="4"/>
    </row>
    <row r="86" spans="2:11">
      <c r="B86" s="4"/>
      <c r="D86" s="4"/>
      <c r="E86" s="4"/>
      <c r="F86" s="4"/>
      <c r="G86" s="4"/>
      <c r="H86" s="4"/>
      <c r="I86" s="4"/>
      <c r="J86" s="4"/>
      <c r="K86" s="4"/>
    </row>
    <row r="87" spans="2:11">
      <c r="B87" s="4"/>
      <c r="D87" s="4"/>
      <c r="E87" s="4"/>
      <c r="F87" s="4"/>
      <c r="G87" s="4"/>
      <c r="H87" s="4"/>
      <c r="I87" s="4"/>
      <c r="J87" s="4"/>
      <c r="K87" s="4"/>
    </row>
    <row r="88" spans="2:11">
      <c r="B88" s="4"/>
      <c r="D88" s="4"/>
      <c r="E88" s="4"/>
      <c r="F88" s="4"/>
      <c r="G88" s="4"/>
      <c r="H88" s="4"/>
      <c r="I88" s="4"/>
      <c r="J88" s="4"/>
      <c r="K88" s="4"/>
    </row>
    <row r="89" spans="2:11">
      <c r="B89" s="4"/>
      <c r="D89" s="4"/>
      <c r="E89" s="4"/>
      <c r="F89" s="4"/>
      <c r="G89" s="4"/>
      <c r="H89" s="4"/>
      <c r="I89" s="4"/>
      <c r="J89" s="4"/>
      <c r="K89" s="4"/>
    </row>
    <row r="90" spans="2:11">
      <c r="B90" s="4"/>
      <c r="D90" s="4"/>
      <c r="E90" s="4"/>
      <c r="F90" s="4"/>
      <c r="G90" s="4"/>
      <c r="H90" s="4"/>
      <c r="I90" s="4"/>
      <c r="J90" s="4"/>
      <c r="K90" s="4"/>
    </row>
    <row r="91" spans="2:11">
      <c r="B91" s="4"/>
      <c r="D91" s="4"/>
      <c r="E91" s="4"/>
      <c r="F91" s="4"/>
      <c r="G91" s="4"/>
      <c r="H91" s="4"/>
      <c r="I91" s="4"/>
      <c r="J91" s="4"/>
      <c r="K91" s="4"/>
    </row>
    <row r="92" spans="2:11">
      <c r="B92" s="4"/>
      <c r="D92" s="4"/>
      <c r="E92" s="4"/>
      <c r="F92" s="4"/>
      <c r="G92" s="4"/>
      <c r="H92" s="4"/>
      <c r="I92" s="4"/>
      <c r="J92" s="4"/>
      <c r="K92" s="4"/>
    </row>
    <row r="93" spans="2:11">
      <c r="B93" s="4"/>
      <c r="D93" s="4"/>
      <c r="E93" s="4"/>
      <c r="F93" s="4"/>
      <c r="G93" s="4"/>
      <c r="H93" s="4"/>
      <c r="I93" s="4"/>
      <c r="J93" s="4"/>
      <c r="K93" s="4"/>
    </row>
    <row r="94" spans="2:11">
      <c r="B94" s="4"/>
      <c r="D94" s="4"/>
      <c r="E94" s="4"/>
      <c r="F94" s="4"/>
      <c r="G94" s="4"/>
      <c r="H94" s="4"/>
      <c r="I94" s="4"/>
      <c r="J94" s="4"/>
      <c r="K94" s="4"/>
    </row>
    <row r="95" spans="2:11">
      <c r="B95" s="4"/>
      <c r="D95" s="4"/>
      <c r="E95" s="4"/>
      <c r="F95" s="4"/>
      <c r="G95" s="4"/>
      <c r="H95" s="4"/>
      <c r="I95" s="4"/>
      <c r="J95" s="4"/>
      <c r="K95" s="4"/>
    </row>
    <row r="96" spans="2:11">
      <c r="B96" s="4"/>
      <c r="D96" s="4"/>
      <c r="E96" s="4"/>
      <c r="F96" s="4"/>
      <c r="G96" s="4"/>
      <c r="H96" s="4"/>
      <c r="I96" s="4"/>
      <c r="J96" s="4"/>
      <c r="K96" s="4"/>
    </row>
    <row r="97" spans="2:11">
      <c r="B97" s="4"/>
      <c r="D97" s="4"/>
      <c r="E97" s="4"/>
      <c r="F97" s="4"/>
      <c r="G97" s="4"/>
      <c r="H97" s="4"/>
      <c r="I97" s="4"/>
      <c r="J97" s="4"/>
      <c r="K97" s="4"/>
    </row>
    <row r="98" spans="2:11">
      <c r="B98" s="4"/>
      <c r="D98" s="4"/>
      <c r="E98" s="4"/>
      <c r="F98" s="4"/>
      <c r="G98" s="4"/>
      <c r="H98" s="4"/>
      <c r="I98" s="4"/>
      <c r="J98" s="4"/>
      <c r="K98" s="4"/>
    </row>
    <row r="99" spans="2:11">
      <c r="B99" s="4"/>
      <c r="D99" s="4"/>
      <c r="E99" s="4"/>
      <c r="F99" s="4"/>
      <c r="G99" s="4"/>
      <c r="H99" s="4"/>
      <c r="I99" s="4"/>
      <c r="J99" s="4"/>
      <c r="K99" s="4"/>
    </row>
    <row r="100" spans="2:11">
      <c r="B100" s="4"/>
      <c r="D100" s="4"/>
      <c r="E100" s="4"/>
      <c r="F100" s="4"/>
      <c r="G100" s="4"/>
      <c r="H100" s="4"/>
      <c r="I100" s="4"/>
      <c r="J100" s="4"/>
      <c r="K100" s="4"/>
    </row>
    <row r="101" spans="2:11">
      <c r="B101" s="4"/>
      <c r="D101" s="4"/>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sheetData>
  <mergeCells count="23">
    <mergeCell ref="A1:P1"/>
    <mergeCell ref="A2:P2"/>
    <mergeCell ref="A3:P3"/>
    <mergeCell ref="A4:D4"/>
    <mergeCell ref="A5:P5"/>
    <mergeCell ref="B55:B63"/>
    <mergeCell ref="B65:B67"/>
    <mergeCell ref="B68:B74"/>
    <mergeCell ref="B15:B22"/>
    <mergeCell ref="D15:I15"/>
    <mergeCell ref="D18:I18"/>
    <mergeCell ref="D23:I23"/>
    <mergeCell ref="D24:I24"/>
    <mergeCell ref="B26:E26"/>
    <mergeCell ref="B27:B33"/>
    <mergeCell ref="B35:E35"/>
    <mergeCell ref="B36:B42"/>
    <mergeCell ref="B49:E50"/>
    <mergeCell ref="B10:D10"/>
    <mergeCell ref="F10:S10"/>
    <mergeCell ref="F11:S11"/>
    <mergeCell ref="E12:R12"/>
    <mergeCell ref="E13:R13"/>
  </mergeCells>
  <conditionalFormatting sqref="F10">
    <cfRule type="notContainsBlanks" dxfId="61" priority="4">
      <formula>LEN(TRIM(F10))&gt;0</formula>
    </cfRule>
  </conditionalFormatting>
  <conditionalFormatting sqref="F11:S11">
    <cfRule type="expression" dxfId="60" priority="2">
      <formula>E11="NO SE REPORTA"</formula>
    </cfRule>
    <cfRule type="expression" dxfId="59" priority="3">
      <formula>E10="NO APLICA"</formula>
    </cfRule>
  </conditionalFormatting>
  <conditionalFormatting sqref="E12:R12">
    <cfRule type="expression" dxfId="58"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900-000000000000}">
      <formula1>0</formula1>
    </dataValidation>
    <dataValidation allowBlank="1" showInputMessage="1" showErrorMessage="1" sqref="I20:I21" xr:uid="{00000000-0002-0000-1900-000001000000}"/>
    <dataValidation type="list" allowBlank="1" showInputMessage="1" showErrorMessage="1" sqref="E11" xr:uid="{00000000-0002-0000-1900-000002000000}">
      <formula1>REPORTE</formula1>
    </dataValidation>
    <dataValidation type="list" allowBlank="1" showInputMessage="1" showErrorMessage="1" sqref="E10" xr:uid="{00000000-0002-0000-1900-000003000000}">
      <formula1>SI</formula1>
    </dataValidation>
  </dataValidations>
  <hyperlinks>
    <hyperlink ref="B9" location="'ANEXO 3'!A1" display="VOLVER AL INDICE" xr:uid="{00000000-0004-0000-1900-000000000000}"/>
    <hyperlink ref="E31" r:id="rId1" xr:uid="{00000000-0004-0000-1900-000001000000}"/>
  </hyperlinks>
  <pageMargins left="0.25" right="0.25" top="0.75" bottom="0.75" header="0.3" footer="0.3"/>
  <pageSetup paperSize="178" orientation="landscape"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U180"/>
  <sheetViews>
    <sheetView showGridLines="0" zoomScale="98" zoomScaleNormal="98" workbookViewId="0">
      <selection activeCell="D39" sqref="D39"/>
    </sheetView>
  </sheetViews>
  <sheetFormatPr defaultColWidth="10.7109375" defaultRowHeight="15"/>
  <cols>
    <col min="1" max="1" width="1.85546875" customWidth="1"/>
    <col min="2" max="2" width="12.85546875" customWidth="1"/>
    <col min="3" max="3" width="5" style="63" bestFit="1" customWidth="1"/>
    <col min="4" max="4" width="34.85546875" customWidth="1"/>
    <col min="5" max="7" width="25" customWidth="1"/>
    <col min="8" max="8" width="15.140625" customWidth="1"/>
  </cols>
  <sheetData>
    <row r="1" spans="1:21" s="333" customFormat="1" ht="100.5" customHeight="1" thickBot="1">
      <c r="A1" s="992"/>
      <c r="B1" s="993"/>
      <c r="C1" s="993"/>
      <c r="D1" s="993"/>
      <c r="E1" s="993"/>
      <c r="F1" s="993"/>
      <c r="G1" s="993"/>
      <c r="H1" s="993"/>
      <c r="I1" s="993"/>
      <c r="J1" s="993"/>
      <c r="K1" s="993"/>
      <c r="L1" s="993"/>
      <c r="M1" s="993"/>
      <c r="N1" s="993"/>
      <c r="O1" s="993"/>
      <c r="P1" s="994"/>
      <c r="Q1" s="241"/>
      <c r="R1" s="241"/>
    </row>
    <row r="2" spans="1:21"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334" customFormat="1" ht="16.5" thickBot="1">
      <c r="A3" s="995" t="s">
        <v>1401</v>
      </c>
      <c r="B3" s="996"/>
      <c r="C3" s="996"/>
      <c r="D3" s="996"/>
      <c r="E3" s="996"/>
      <c r="F3" s="996"/>
      <c r="G3" s="996"/>
      <c r="H3" s="996"/>
      <c r="I3" s="996"/>
      <c r="J3" s="996"/>
      <c r="K3" s="996"/>
      <c r="L3" s="996"/>
      <c r="M3" s="996"/>
      <c r="N3" s="996"/>
      <c r="O3" s="996"/>
      <c r="P3" s="997"/>
      <c r="Q3" s="241"/>
      <c r="R3" s="241"/>
    </row>
    <row r="4" spans="1:21" s="334" customFormat="1" ht="16.5" thickBot="1">
      <c r="A4" s="998" t="s">
        <v>55</v>
      </c>
      <c r="B4" s="999"/>
      <c r="C4" s="999"/>
      <c r="D4" s="999"/>
      <c r="E4" s="370" t="str">
        <f>'Datos Generales'!C6</f>
        <v>2020-II</v>
      </c>
      <c r="F4" s="370"/>
      <c r="G4" s="370"/>
      <c r="H4" s="370"/>
      <c r="I4" s="370"/>
      <c r="J4" s="370"/>
      <c r="K4" s="370"/>
      <c r="L4" s="372"/>
      <c r="M4" s="372"/>
      <c r="N4" s="372"/>
      <c r="O4" s="372"/>
      <c r="P4" s="373"/>
      <c r="Q4" s="241"/>
      <c r="R4" s="241"/>
    </row>
    <row r="5" spans="1:21" s="177" customFormat="1" ht="16.5" customHeight="1" thickBot="1">
      <c r="A5" s="995" t="s">
        <v>753</v>
      </c>
      <c r="B5" s="996"/>
      <c r="C5" s="996"/>
      <c r="D5" s="996"/>
      <c r="E5" s="996"/>
      <c r="F5" s="996"/>
      <c r="G5" s="996"/>
      <c r="H5" s="996"/>
      <c r="I5" s="996"/>
      <c r="J5" s="996"/>
      <c r="K5" s="996"/>
      <c r="L5" s="996"/>
      <c r="M5" s="996"/>
      <c r="N5" s="996"/>
      <c r="O5" s="996"/>
      <c r="P5" s="997"/>
    </row>
    <row r="6" spans="1:21">
      <c r="A6" s="241"/>
      <c r="B6" s="1" t="s">
        <v>1437</v>
      </c>
      <c r="C6" s="55"/>
      <c r="D6" s="4"/>
      <c r="E6" s="53"/>
      <c r="F6" s="4" t="s">
        <v>1438</v>
      </c>
      <c r="G6" s="4"/>
      <c r="H6" s="4"/>
      <c r="I6" s="4"/>
      <c r="J6" s="4"/>
      <c r="K6" s="4"/>
      <c r="L6" s="241"/>
      <c r="M6" s="241"/>
      <c r="N6" s="241"/>
      <c r="O6" s="241"/>
      <c r="P6" s="241"/>
      <c r="Q6" s="241"/>
      <c r="R6" s="241"/>
      <c r="S6" s="241"/>
      <c r="T6" s="241"/>
      <c r="U6" s="241"/>
    </row>
    <row r="7" spans="1:21" ht="15.75" thickBot="1">
      <c r="A7" s="241"/>
      <c r="B7" s="22"/>
      <c r="C7" s="56"/>
      <c r="D7" s="4"/>
      <c r="E7" s="13"/>
      <c r="F7" s="4" t="s">
        <v>1439</v>
      </c>
      <c r="G7" s="4"/>
      <c r="H7" s="4"/>
      <c r="I7" s="4"/>
      <c r="J7" s="4"/>
      <c r="K7" s="4"/>
      <c r="L7" s="241"/>
      <c r="M7" s="241"/>
      <c r="N7" s="241"/>
      <c r="O7" s="241"/>
      <c r="P7" s="241"/>
      <c r="Q7" s="241"/>
      <c r="R7" s="241"/>
      <c r="S7" s="241"/>
      <c r="T7" s="241"/>
      <c r="U7" s="241"/>
    </row>
    <row r="8" spans="1:21" ht="15.75" thickBot="1">
      <c r="A8" s="241"/>
      <c r="B8" s="131" t="s">
        <v>1440</v>
      </c>
      <c r="C8" s="164">
        <v>2020</v>
      </c>
      <c r="D8" s="169">
        <f>IF(E10="NO APLICA","NO APLICA",IF(E11="NO SE REPORTA","SIN INFORMACION",+E20))</f>
        <v>1</v>
      </c>
      <c r="E8" s="165"/>
      <c r="F8" s="4" t="s">
        <v>1441</v>
      </c>
      <c r="G8" s="4"/>
      <c r="H8" s="4"/>
      <c r="I8" s="4"/>
      <c r="J8" s="4"/>
      <c r="K8" s="4"/>
      <c r="L8" s="241"/>
      <c r="M8" s="241"/>
      <c r="N8" s="241"/>
      <c r="O8" s="241"/>
      <c r="P8" s="241"/>
      <c r="Q8" s="241"/>
      <c r="R8" s="241"/>
      <c r="S8" s="241"/>
      <c r="T8" s="241"/>
      <c r="U8" s="241"/>
    </row>
    <row r="9" spans="1:21">
      <c r="A9" s="241"/>
      <c r="B9" s="300" t="s">
        <v>1442</v>
      </c>
      <c r="D9" s="4"/>
      <c r="E9" s="4"/>
      <c r="F9" s="4"/>
      <c r="G9" s="4"/>
      <c r="H9" s="4"/>
      <c r="I9" s="4"/>
      <c r="J9" s="4"/>
      <c r="K9" s="4"/>
      <c r="L9" s="241"/>
      <c r="M9" s="241"/>
      <c r="N9" s="241"/>
      <c r="O9" s="241"/>
      <c r="P9" s="241"/>
      <c r="Q9" s="241"/>
      <c r="R9" s="241"/>
      <c r="S9" s="241"/>
      <c r="T9" s="241"/>
      <c r="U9" s="241"/>
    </row>
    <row r="10" spans="1:21" s="241" customFormat="1">
      <c r="A10" s="177"/>
      <c r="B10" s="1108" t="s">
        <v>1443</v>
      </c>
      <c r="C10" s="1108"/>
      <c r="D10" s="1108"/>
      <c r="E10" s="306" t="s">
        <v>1444</v>
      </c>
      <c r="F10" s="110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10"/>
      <c r="H10" s="1110"/>
      <c r="I10" s="1110"/>
      <c r="J10" s="1110"/>
      <c r="K10" s="1110"/>
      <c r="L10" s="1110"/>
      <c r="M10" s="1110"/>
      <c r="N10" s="1110"/>
      <c r="O10" s="1110"/>
      <c r="P10" s="1110"/>
      <c r="Q10" s="1110"/>
      <c r="R10" s="1110"/>
      <c r="S10" s="1110"/>
      <c r="T10" s="302"/>
      <c r="U10" s="302"/>
    </row>
    <row r="11" spans="1:21" s="241" customFormat="1" ht="14.45" customHeight="1">
      <c r="A11" s="177"/>
      <c r="B11" s="303"/>
      <c r="C11" s="304"/>
      <c r="D11" s="305" t="str">
        <f>IF(E10="SI APLICA","¿El indicador no se reporta por limitaciones de información disponible? ","")</f>
        <v xml:space="preserve">¿El indicador no se reporta por limitaciones de información disponible? </v>
      </c>
      <c r="E11" s="307" t="s">
        <v>1445</v>
      </c>
      <c r="F11" s="1111"/>
      <c r="G11" s="1112"/>
      <c r="H11" s="1112"/>
      <c r="I11" s="1112"/>
      <c r="J11" s="1112"/>
      <c r="K11" s="1112"/>
      <c r="L11" s="1112"/>
      <c r="M11" s="1112"/>
      <c r="N11" s="1112"/>
      <c r="O11" s="1112"/>
      <c r="P11" s="1112"/>
      <c r="Q11" s="1112"/>
      <c r="R11" s="1112"/>
      <c r="S11" s="1112"/>
    </row>
    <row r="12" spans="1:21" s="241" customFormat="1" ht="23.45" customHeight="1">
      <c r="A12" s="177"/>
      <c r="B12" s="300"/>
      <c r="C12" s="206"/>
      <c r="D12" s="305" t="str">
        <f>IF(E11="SI SE REPORTA","¿Qué programas o proyectos del Plan de Acción están asociados al indicador? ","")</f>
        <v xml:space="preserve">¿Qué programas o proyectos del Plan de Acción están asociados al indicador? </v>
      </c>
      <c r="E12" s="1113" t="s">
        <v>2245</v>
      </c>
      <c r="F12" s="1113"/>
      <c r="G12" s="1113"/>
      <c r="H12" s="1113"/>
      <c r="I12" s="1113"/>
      <c r="J12" s="1113"/>
      <c r="K12" s="1113"/>
      <c r="L12" s="1113"/>
      <c r="M12" s="1113"/>
      <c r="N12" s="1113"/>
      <c r="O12" s="1113"/>
      <c r="P12" s="1113"/>
      <c r="Q12" s="1113"/>
      <c r="R12" s="1113"/>
    </row>
    <row r="13" spans="1:21" s="241" customFormat="1" ht="82.5" customHeight="1">
      <c r="A13" s="177"/>
      <c r="B13" s="300"/>
      <c r="C13" s="206"/>
      <c r="D13" s="305" t="s">
        <v>1447</v>
      </c>
      <c r="E13" s="1057" t="s">
        <v>2246</v>
      </c>
      <c r="F13" s="1058"/>
      <c r="G13" s="1058"/>
      <c r="H13" s="1058"/>
      <c r="I13" s="1058"/>
      <c r="J13" s="1058"/>
      <c r="K13" s="1058"/>
      <c r="L13" s="1058"/>
      <c r="M13" s="1058"/>
      <c r="N13" s="1058"/>
      <c r="O13" s="1058"/>
      <c r="P13" s="1058"/>
      <c r="Q13" s="1058"/>
      <c r="R13" s="1059"/>
    </row>
    <row r="14" spans="1:21" s="241" customFormat="1" ht="6.95" customHeight="1" thickBot="1">
      <c r="B14" s="300"/>
      <c r="C14" s="63"/>
      <c r="D14" s="4"/>
      <c r="E14" s="4"/>
      <c r="F14" s="4"/>
      <c r="G14" s="4"/>
      <c r="H14" s="4"/>
      <c r="I14" s="4"/>
      <c r="J14" s="4"/>
      <c r="K14" s="4"/>
    </row>
    <row r="15" spans="1:21" ht="15" customHeight="1" thickTop="1">
      <c r="A15" s="241"/>
      <c r="B15" s="1088" t="s">
        <v>1449</v>
      </c>
      <c r="C15" s="65"/>
      <c r="D15" s="1009" t="s">
        <v>1816</v>
      </c>
      <c r="E15" s="1010"/>
      <c r="F15" s="1010"/>
      <c r="G15" s="1010"/>
      <c r="H15" s="1010"/>
      <c r="I15" s="1010"/>
      <c r="J15" s="1010"/>
      <c r="K15" s="1011"/>
      <c r="L15" s="241"/>
      <c r="M15" s="241"/>
      <c r="N15" s="241"/>
      <c r="O15" s="241"/>
      <c r="P15" s="241"/>
      <c r="Q15" s="241"/>
      <c r="R15" s="241"/>
      <c r="S15" s="241"/>
      <c r="T15" s="241"/>
      <c r="U15" s="241"/>
    </row>
    <row r="16" spans="1:21" ht="15.75" thickBot="1">
      <c r="A16" s="241"/>
      <c r="B16" s="1004"/>
      <c r="C16" s="68"/>
      <c r="D16" s="1174" t="s">
        <v>753</v>
      </c>
      <c r="E16" s="1175"/>
      <c r="F16" s="1175"/>
      <c r="G16" s="1175"/>
      <c r="H16" s="1175"/>
      <c r="I16" s="1175"/>
      <c r="J16" s="1175"/>
      <c r="K16" s="1176"/>
      <c r="L16" s="241"/>
      <c r="M16" s="241"/>
      <c r="N16" s="241"/>
      <c r="O16" s="241"/>
      <c r="P16" s="241"/>
      <c r="Q16" s="241"/>
      <c r="R16" s="241"/>
      <c r="S16" s="241"/>
      <c r="T16" s="241"/>
      <c r="U16" s="241"/>
    </row>
    <row r="17" spans="2:12" ht="15.75" thickBot="1">
      <c r="B17" s="1004"/>
      <c r="C17" s="66" t="s">
        <v>1402</v>
      </c>
      <c r="D17" s="872" t="s">
        <v>1707</v>
      </c>
      <c r="E17" s="872" t="s">
        <v>1487</v>
      </c>
      <c r="F17" s="872" t="s">
        <v>1488</v>
      </c>
      <c r="G17" s="872" t="s">
        <v>1489</v>
      </c>
      <c r="H17" s="872" t="s">
        <v>1490</v>
      </c>
      <c r="I17" s="872" t="s">
        <v>2171</v>
      </c>
      <c r="J17" s="241"/>
      <c r="K17" s="17"/>
      <c r="L17" s="241"/>
    </row>
    <row r="18" spans="2:12" ht="36.75" thickBot="1">
      <c r="B18" s="1004"/>
      <c r="C18" s="67" t="s">
        <v>1605</v>
      </c>
      <c r="D18" s="845" t="s">
        <v>2247</v>
      </c>
      <c r="E18" s="5">
        <v>2</v>
      </c>
      <c r="F18" s="5">
        <v>3</v>
      </c>
      <c r="G18" s="5">
        <v>4</v>
      </c>
      <c r="H18" s="5">
        <v>4</v>
      </c>
      <c r="I18" s="34">
        <f>SUM(E18:H18)</f>
        <v>13</v>
      </c>
      <c r="J18" s="241"/>
      <c r="K18" s="17"/>
      <c r="L18" s="241"/>
    </row>
    <row r="19" spans="2:12" ht="36.75" thickBot="1">
      <c r="B19" s="1004"/>
      <c r="C19" s="67" t="s">
        <v>1607</v>
      </c>
      <c r="D19" s="845" t="s">
        <v>2248</v>
      </c>
      <c r="E19" s="5">
        <v>2</v>
      </c>
      <c r="F19" s="5"/>
      <c r="G19" s="5"/>
      <c r="H19" s="5"/>
      <c r="I19" s="34">
        <f>SUM(E19:H19)</f>
        <v>2</v>
      </c>
      <c r="J19" s="241"/>
      <c r="K19" s="17"/>
      <c r="L19" s="241"/>
    </row>
    <row r="20" spans="2:12" ht="48.75" thickBot="1">
      <c r="B20" s="1004"/>
      <c r="C20" s="67" t="s">
        <v>1610</v>
      </c>
      <c r="D20" s="845" t="s">
        <v>2249</v>
      </c>
      <c r="E20" s="99">
        <f>IFERROR(E19/E18,0)</f>
        <v>1</v>
      </c>
      <c r="F20" s="99">
        <f>IFERROR(F19/F18,0)</f>
        <v>0</v>
      </c>
      <c r="G20" s="99">
        <f>IFERROR(G19/G18,0)</f>
        <v>0</v>
      </c>
      <c r="H20" s="99">
        <f>IFERROR(H19/H18,0)</f>
        <v>0</v>
      </c>
      <c r="I20" s="99">
        <f>IFERROR(I19/I18,0)</f>
        <v>0.15384615384615385</v>
      </c>
      <c r="J20" s="241"/>
      <c r="K20" s="17"/>
      <c r="L20" s="241"/>
    </row>
    <row r="21" spans="2:12">
      <c r="B21" s="838"/>
      <c r="C21" s="68"/>
      <c r="D21" s="1015"/>
      <c r="E21" s="1016"/>
      <c r="F21" s="1016"/>
      <c r="G21" s="1016"/>
      <c r="H21" s="1016"/>
      <c r="I21" s="1016"/>
      <c r="J21" s="1016"/>
      <c r="K21" s="1017"/>
      <c r="L21" s="241"/>
    </row>
    <row r="22" spans="2:12">
      <c r="B22" s="838"/>
      <c r="C22" s="68"/>
      <c r="D22" s="1174" t="s">
        <v>2250</v>
      </c>
      <c r="E22" s="1175"/>
      <c r="F22" s="1175"/>
      <c r="G22" s="1175"/>
      <c r="H22" s="1175"/>
      <c r="I22" s="1175"/>
      <c r="J22" s="1175"/>
      <c r="K22" s="1176"/>
      <c r="L22" s="241"/>
    </row>
    <row r="23" spans="2:12" ht="24" customHeight="1" thickBot="1">
      <c r="B23" s="838"/>
      <c r="C23" s="68"/>
      <c r="D23" s="1194" t="s">
        <v>2251</v>
      </c>
      <c r="E23" s="1195"/>
      <c r="F23" s="1195"/>
      <c r="G23" s="1195"/>
      <c r="H23" s="1195"/>
      <c r="I23" s="1195"/>
      <c r="J23" s="1195"/>
      <c r="K23" s="1196"/>
      <c r="L23" s="241"/>
    </row>
    <row r="24" spans="2:12" ht="15.75" thickBot="1">
      <c r="B24" s="838"/>
      <c r="C24" s="1011" t="s">
        <v>1402</v>
      </c>
      <c r="D24" s="1032" t="s">
        <v>1728</v>
      </c>
      <c r="E24" s="1032" t="s">
        <v>2174</v>
      </c>
      <c r="F24" s="1134" t="s">
        <v>2252</v>
      </c>
      <c r="G24" s="1197" t="s">
        <v>2253</v>
      </c>
      <c r="H24" s="1198"/>
      <c r="I24" s="1198"/>
      <c r="J24" s="1199"/>
      <c r="K24" s="86"/>
      <c r="L24" s="241"/>
    </row>
    <row r="25" spans="2:12">
      <c r="B25" s="838"/>
      <c r="C25" s="1017"/>
      <c r="D25" s="1033"/>
      <c r="E25" s="1033"/>
      <c r="F25" s="1144"/>
      <c r="G25" s="50" t="s">
        <v>2012</v>
      </c>
      <c r="H25" s="1134" t="s">
        <v>2254</v>
      </c>
      <c r="I25" s="1134" t="s">
        <v>1732</v>
      </c>
      <c r="J25" s="1134" t="s">
        <v>1733</v>
      </c>
      <c r="K25" s="9"/>
      <c r="L25" s="241"/>
    </row>
    <row r="26" spans="2:12" ht="15.75" thickBot="1">
      <c r="B26" s="838"/>
      <c r="C26" s="1046"/>
      <c r="D26" s="1034"/>
      <c r="E26" s="1034"/>
      <c r="F26" s="1135"/>
      <c r="G26" s="49" t="s">
        <v>2255</v>
      </c>
      <c r="H26" s="1135"/>
      <c r="I26" s="1135"/>
      <c r="J26" s="1135"/>
      <c r="K26" s="9"/>
      <c r="L26" s="241"/>
    </row>
    <row r="27" spans="2:12" ht="84.75" thickBot="1">
      <c r="B27" s="838"/>
      <c r="C27" s="25">
        <v>1</v>
      </c>
      <c r="D27" s="24" t="s">
        <v>2256</v>
      </c>
      <c r="E27" s="275" t="s">
        <v>2257</v>
      </c>
      <c r="F27" s="24" t="s">
        <v>2258</v>
      </c>
      <c r="G27" s="161"/>
      <c r="H27" s="161"/>
      <c r="I27" s="161"/>
      <c r="J27" s="161"/>
      <c r="K27" s="9"/>
      <c r="L27" s="168"/>
    </row>
    <row r="28" spans="2:12" ht="48.75" thickBot="1">
      <c r="B28" s="838"/>
      <c r="C28" s="25">
        <v>2</v>
      </c>
      <c r="D28" s="24" t="s">
        <v>2259</v>
      </c>
      <c r="E28" s="275" t="s">
        <v>2260</v>
      </c>
      <c r="F28" s="25" t="s">
        <v>2261</v>
      </c>
      <c r="G28" s="161"/>
      <c r="H28" s="161"/>
      <c r="I28" s="161"/>
      <c r="J28" s="161"/>
      <c r="K28" s="9"/>
      <c r="L28" s="168"/>
    </row>
    <row r="29" spans="2:12" ht="96.75" thickBot="1">
      <c r="B29" s="838"/>
      <c r="C29" s="25">
        <v>3</v>
      </c>
      <c r="D29" s="24" t="s">
        <v>2262</v>
      </c>
      <c r="E29" s="275" t="s">
        <v>2263</v>
      </c>
      <c r="F29" s="25" t="s">
        <v>2264</v>
      </c>
      <c r="G29" s="161">
        <v>90000000</v>
      </c>
      <c r="H29" s="161">
        <v>90000000</v>
      </c>
      <c r="I29" s="161">
        <v>68500000</v>
      </c>
      <c r="J29" s="161"/>
      <c r="K29" s="9"/>
      <c r="L29" s="168"/>
    </row>
    <row r="30" spans="2:12" ht="48.75" thickBot="1">
      <c r="B30" s="838"/>
      <c r="C30" s="25">
        <v>4</v>
      </c>
      <c r="D30" s="24" t="s">
        <v>2265</v>
      </c>
      <c r="E30" s="275" t="s">
        <v>2266</v>
      </c>
      <c r="F30" s="25" t="s">
        <v>2264</v>
      </c>
      <c r="G30" s="161"/>
      <c r="H30" s="161"/>
      <c r="I30" s="161"/>
      <c r="J30" s="161"/>
      <c r="K30" s="9"/>
      <c r="L30" s="168"/>
    </row>
    <row r="31" spans="2:12" ht="144.75" thickBot="1">
      <c r="B31" s="838"/>
      <c r="C31" s="25">
        <v>5</v>
      </c>
      <c r="D31" s="24" t="s">
        <v>2267</v>
      </c>
      <c r="E31" s="275" t="s">
        <v>2268</v>
      </c>
      <c r="F31" s="25" t="s">
        <v>2269</v>
      </c>
      <c r="G31" s="161">
        <v>140000000</v>
      </c>
      <c r="H31" s="161">
        <v>140000000</v>
      </c>
      <c r="I31" s="161">
        <v>94500000</v>
      </c>
      <c r="J31" s="161"/>
      <c r="K31" s="9"/>
      <c r="L31" s="168"/>
    </row>
    <row r="32" spans="2:12" ht="15.75" thickBot="1">
      <c r="B32" s="838"/>
      <c r="C32" s="25">
        <v>6</v>
      </c>
      <c r="D32" s="25"/>
      <c r="E32" s="275"/>
      <c r="F32" s="25"/>
      <c r="G32" s="161"/>
      <c r="H32" s="161"/>
      <c r="I32" s="161"/>
      <c r="J32" s="161"/>
      <c r="K32" s="9"/>
      <c r="L32" s="168"/>
    </row>
    <row r="33" spans="2:11" ht="15.75" thickBot="1">
      <c r="B33" s="838"/>
      <c r="C33" s="32"/>
      <c r="D33" s="32" t="s">
        <v>1604</v>
      </c>
      <c r="E33" s="32"/>
      <c r="F33" s="845"/>
      <c r="G33" s="97">
        <f>SUM(G27:G32)</f>
        <v>230000000</v>
      </c>
      <c r="H33" s="97">
        <f>SUM(H27:H32)</f>
        <v>230000000</v>
      </c>
      <c r="I33" s="97">
        <f>SUM(I27:I32)</f>
        <v>163000000</v>
      </c>
      <c r="J33" s="97">
        <f>SUM(J27:J32)</f>
        <v>0</v>
      </c>
      <c r="K33" s="10"/>
    </row>
    <row r="34" spans="2:11">
      <c r="B34" s="838"/>
      <c r="C34" s="68"/>
      <c r="D34" s="1009" t="s">
        <v>2190</v>
      </c>
      <c r="E34" s="1010"/>
      <c r="F34" s="1010"/>
      <c r="G34" s="1010"/>
      <c r="H34" s="1010"/>
      <c r="I34" s="1010"/>
      <c r="J34" s="1010"/>
      <c r="K34" s="1011"/>
    </row>
    <row r="35" spans="2:11" ht="24" customHeight="1" thickBot="1">
      <c r="B35" s="838"/>
      <c r="C35" s="68"/>
      <c r="D35" s="1015" t="s">
        <v>2270</v>
      </c>
      <c r="E35" s="1016"/>
      <c r="F35" s="1016"/>
      <c r="G35" s="1016"/>
      <c r="H35" s="1016"/>
      <c r="I35" s="1016"/>
      <c r="J35" s="1016"/>
      <c r="K35" s="1017"/>
    </row>
    <row r="36" spans="2:11" ht="15.75" thickBot="1">
      <c r="B36" s="838"/>
      <c r="C36" s="1023" t="s">
        <v>1402</v>
      </c>
      <c r="D36" s="1183" t="s">
        <v>2271</v>
      </c>
      <c r="E36" s="1186" t="s">
        <v>2272</v>
      </c>
      <c r="F36" s="1187"/>
      <c r="G36" s="852"/>
      <c r="H36" s="4"/>
      <c r="I36" s="4"/>
      <c r="J36" s="241"/>
      <c r="K36" s="17"/>
    </row>
    <row r="37" spans="2:11">
      <c r="B37" s="838"/>
      <c r="C37" s="1014"/>
      <c r="D37" s="1184"/>
      <c r="E37" s="1032" t="s">
        <v>2273</v>
      </c>
      <c r="F37" s="829" t="s">
        <v>2274</v>
      </c>
      <c r="G37" s="1032" t="s">
        <v>1406</v>
      </c>
      <c r="H37" s="4"/>
      <c r="I37" s="4"/>
      <c r="J37" s="241"/>
      <c r="K37" s="17"/>
    </row>
    <row r="38" spans="2:11" ht="15.75" thickBot="1">
      <c r="B38" s="838"/>
      <c r="C38" s="1008"/>
      <c r="D38" s="1185"/>
      <c r="E38" s="1034"/>
      <c r="F38" s="845" t="s">
        <v>2254</v>
      </c>
      <c r="G38" s="1034"/>
      <c r="H38" s="4"/>
      <c r="I38" s="4"/>
      <c r="J38" s="241"/>
      <c r="K38" s="17"/>
    </row>
    <row r="39" spans="2:11" ht="15.75" thickBot="1">
      <c r="B39" s="838"/>
      <c r="C39" s="277">
        <v>1</v>
      </c>
      <c r="D39" s="118"/>
      <c r="E39" s="103">
        <f>IFERROR(I27/H27,0)</f>
        <v>0</v>
      </c>
      <c r="F39" s="103">
        <f>IFERROR(J27/I27,0)</f>
        <v>0</v>
      </c>
      <c r="G39" s="275"/>
      <c r="H39" s="4"/>
      <c r="I39" s="4"/>
      <c r="J39" s="241"/>
      <c r="K39" s="17"/>
    </row>
    <row r="40" spans="2:11" ht="15.75" thickBot="1">
      <c r="B40" s="838"/>
      <c r="C40" s="277">
        <v>2</v>
      </c>
      <c r="D40" s="118"/>
      <c r="E40" s="103">
        <f>IFERROR(I28/H28,0)</f>
        <v>0</v>
      </c>
      <c r="F40" s="103">
        <f t="shared" ref="F40:F45" si="0">IFERROR(J28/I28,0)</f>
        <v>0</v>
      </c>
      <c r="G40" s="275"/>
      <c r="H40" s="4"/>
      <c r="I40" s="4"/>
      <c r="J40" s="241"/>
      <c r="K40" s="17"/>
    </row>
    <row r="41" spans="2:11" ht="15.75" thickBot="1">
      <c r="B41" s="838"/>
      <c r="C41" s="277">
        <v>3</v>
      </c>
      <c r="D41" s="118"/>
      <c r="E41" s="103">
        <f>IFERROR(I29/H29,0)</f>
        <v>0.76111111111111107</v>
      </c>
      <c r="F41" s="103">
        <f t="shared" si="0"/>
        <v>0</v>
      </c>
      <c r="G41" s="275"/>
      <c r="H41" s="4"/>
      <c r="I41" s="4"/>
      <c r="J41" s="241"/>
      <c r="K41" s="17"/>
    </row>
    <row r="42" spans="2:11" ht="15.75" thickBot="1">
      <c r="B42" s="838"/>
      <c r="C42" s="277">
        <v>4</v>
      </c>
      <c r="D42" s="118"/>
      <c r="E42" s="103">
        <f>IFERROR(I30/H30,0)</f>
        <v>0</v>
      </c>
      <c r="F42" s="103">
        <f t="shared" si="0"/>
        <v>0</v>
      </c>
      <c r="G42" s="275"/>
      <c r="H42" s="4"/>
      <c r="I42" s="4"/>
      <c r="J42" s="241"/>
      <c r="K42" s="17"/>
    </row>
    <row r="43" spans="2:11" ht="15.75" thickBot="1">
      <c r="B43" s="838"/>
      <c r="C43" s="277">
        <v>5</v>
      </c>
      <c r="D43" s="118"/>
      <c r="E43" s="103">
        <f>IFERROR(I31/H31,0)</f>
        <v>0.67500000000000004</v>
      </c>
      <c r="F43" s="103">
        <f t="shared" si="0"/>
        <v>0</v>
      </c>
      <c r="G43" s="275"/>
      <c r="H43" s="4"/>
      <c r="I43" s="4"/>
      <c r="J43" s="241"/>
      <c r="K43" s="17"/>
    </row>
    <row r="44" spans="2:11" ht="15.75" thickBot="1">
      <c r="B44" s="838"/>
      <c r="C44" s="277">
        <v>6</v>
      </c>
      <c r="D44" s="118"/>
      <c r="E44" s="103">
        <f>IFERROR(I32/H32,0)</f>
        <v>0</v>
      </c>
      <c r="F44" s="103">
        <f t="shared" si="0"/>
        <v>0</v>
      </c>
      <c r="G44" s="275"/>
      <c r="H44" s="4"/>
      <c r="I44" s="4"/>
      <c r="J44" s="241"/>
      <c r="K44" s="17"/>
    </row>
    <row r="45" spans="2:11" ht="15.75" thickBot="1">
      <c r="B45" s="839"/>
      <c r="C45" s="830"/>
      <c r="D45" s="119" t="str">
        <f>Formulas!$D$22</f>
        <v>ERROR: LA SUMA DE LA COLUMNA DEBE SER 100%</v>
      </c>
      <c r="E45" s="104">
        <f>+$D39*E39+$D40*E40+$D41*E41+$D42*E42+$D43*E43+$D44*E44</f>
        <v>0</v>
      </c>
      <c r="F45" s="103">
        <f t="shared" si="0"/>
        <v>0</v>
      </c>
      <c r="G45" s="845"/>
      <c r="H45" s="18"/>
      <c r="I45" s="18"/>
      <c r="J45" s="18"/>
      <c r="K45" s="19"/>
    </row>
    <row r="46" spans="2:11" ht="15.75" thickBot="1">
      <c r="B46" s="31"/>
      <c r="C46" s="64"/>
      <c r="D46" s="4"/>
      <c r="E46" s="4"/>
      <c r="F46" s="4"/>
      <c r="G46" s="4"/>
      <c r="H46" s="4"/>
      <c r="I46" s="4"/>
      <c r="J46" s="4"/>
      <c r="K46" s="4"/>
    </row>
    <row r="47" spans="2:11" ht="84.75" thickBot="1">
      <c r="B47" s="40" t="s">
        <v>1504</v>
      </c>
      <c r="C47" s="878"/>
      <c r="D47" s="842" t="s">
        <v>2275</v>
      </c>
      <c r="E47" s="4"/>
      <c r="F47" s="4"/>
      <c r="G47" s="4"/>
      <c r="H47" s="4"/>
      <c r="I47" s="4"/>
      <c r="J47" s="4"/>
      <c r="K47" s="4"/>
    </row>
    <row r="48" spans="2:11" ht="60.75" thickBot="1">
      <c r="B48" s="839" t="s">
        <v>1506</v>
      </c>
      <c r="C48" s="857"/>
      <c r="D48" s="845" t="s">
        <v>1831</v>
      </c>
      <c r="E48" s="4"/>
      <c r="F48" s="4"/>
      <c r="G48" s="4"/>
      <c r="H48" s="4"/>
      <c r="I48" s="4"/>
      <c r="J48" s="4"/>
      <c r="K48" s="4"/>
    </row>
    <row r="49" spans="2:11" ht="15.75" thickBot="1">
      <c r="B49" s="1"/>
      <c r="C49" s="55"/>
      <c r="D49" s="4"/>
      <c r="E49" s="4"/>
      <c r="F49" s="4"/>
      <c r="G49" s="4"/>
      <c r="H49" s="4"/>
      <c r="I49" s="4"/>
      <c r="J49" s="4"/>
      <c r="K49" s="4"/>
    </row>
    <row r="50" spans="2:11" ht="24" customHeight="1" thickBot="1">
      <c r="B50" s="1029" t="s">
        <v>1508</v>
      </c>
      <c r="C50" s="1030"/>
      <c r="D50" s="1030"/>
      <c r="E50" s="1031"/>
      <c r="F50" s="4"/>
      <c r="G50" s="4"/>
      <c r="H50" s="4"/>
      <c r="I50" s="4"/>
      <c r="J50" s="4"/>
      <c r="K50" s="4"/>
    </row>
    <row r="51" spans="2:11" ht="15.75" thickBot="1">
      <c r="B51" s="1032">
        <v>1</v>
      </c>
      <c r="C51" s="890"/>
      <c r="D51" s="37" t="s">
        <v>1509</v>
      </c>
      <c r="E51" s="25" t="s">
        <v>1510</v>
      </c>
      <c r="F51" s="4"/>
      <c r="G51" s="4"/>
      <c r="H51" s="4"/>
      <c r="I51" s="4"/>
      <c r="J51" s="4"/>
      <c r="K51" s="4"/>
    </row>
    <row r="52" spans="2:11" ht="24.75" thickBot="1">
      <c r="B52" s="1033"/>
      <c r="C52" s="890"/>
      <c r="D52" s="845" t="s">
        <v>10</v>
      </c>
      <c r="E52" s="24" t="s">
        <v>1643</v>
      </c>
      <c r="F52" s="4"/>
      <c r="G52" s="4"/>
      <c r="H52" s="4"/>
      <c r="I52" s="4"/>
      <c r="J52" s="4"/>
      <c r="K52" s="4"/>
    </row>
    <row r="53" spans="2:11" ht="15.75" thickBot="1">
      <c r="B53" s="1033"/>
      <c r="C53" s="890"/>
      <c r="D53" s="845" t="s">
        <v>1512</v>
      </c>
      <c r="E53" s="24" t="s">
        <v>1691</v>
      </c>
      <c r="F53" s="4"/>
      <c r="G53" s="4"/>
      <c r="H53" s="4"/>
      <c r="I53" s="4"/>
      <c r="J53" s="4"/>
      <c r="K53" s="4"/>
    </row>
    <row r="54" spans="2:11" ht="15.75" thickBot="1">
      <c r="B54" s="1033"/>
      <c r="C54" s="890"/>
      <c r="D54" s="845" t="s">
        <v>13</v>
      </c>
      <c r="E54" s="24" t="s">
        <v>1514</v>
      </c>
      <c r="F54" s="4"/>
      <c r="G54" s="4"/>
      <c r="H54" s="4"/>
      <c r="I54" s="4"/>
      <c r="J54" s="4"/>
      <c r="K54" s="4"/>
    </row>
    <row r="55" spans="2:11" ht="30.75" thickBot="1">
      <c r="B55" s="1033"/>
      <c r="C55" s="890"/>
      <c r="D55" s="845" t="s">
        <v>16</v>
      </c>
      <c r="E55" s="704" t="s">
        <v>1646</v>
      </c>
      <c r="F55" s="4"/>
      <c r="G55" s="4"/>
      <c r="H55" s="4"/>
      <c r="I55" s="4"/>
      <c r="J55" s="4"/>
      <c r="K55" s="4"/>
    </row>
    <row r="56" spans="2:11" ht="15.75" thickBot="1">
      <c r="B56" s="1033"/>
      <c r="C56" s="890"/>
      <c r="D56" s="845" t="s">
        <v>19</v>
      </c>
      <c r="E56" s="24" t="s">
        <v>1647</v>
      </c>
      <c r="F56" s="4"/>
      <c r="G56" s="4"/>
      <c r="H56" s="4"/>
      <c r="I56" s="4"/>
      <c r="J56" s="4"/>
      <c r="K56" s="4"/>
    </row>
    <row r="57" spans="2:11" ht="15.75" thickBot="1">
      <c r="B57" s="1034"/>
      <c r="C57" s="857"/>
      <c r="D57" s="845" t="s">
        <v>1516</v>
      </c>
      <c r="E57" s="24" t="s">
        <v>1517</v>
      </c>
      <c r="F57" s="4"/>
      <c r="G57" s="4"/>
      <c r="H57" s="4"/>
      <c r="I57" s="4"/>
      <c r="J57" s="4"/>
      <c r="K57" s="4"/>
    </row>
    <row r="58" spans="2:11" ht="15.75" thickBot="1">
      <c r="B58" s="1"/>
      <c r="C58" s="55"/>
      <c r="D58" s="4"/>
      <c r="E58" s="4"/>
      <c r="F58" s="4"/>
      <c r="G58" s="4"/>
      <c r="H58" s="4"/>
      <c r="I58" s="4"/>
      <c r="J58" s="4"/>
      <c r="K58" s="4"/>
    </row>
    <row r="59" spans="2:11" ht="15.75" thickBot="1">
      <c r="B59" s="1029" t="s">
        <v>1518</v>
      </c>
      <c r="C59" s="1030"/>
      <c r="D59" s="1030"/>
      <c r="E59" s="1031"/>
      <c r="F59" s="4"/>
      <c r="G59" s="4"/>
      <c r="H59" s="4"/>
      <c r="I59" s="4"/>
      <c r="J59" s="4"/>
      <c r="K59" s="4"/>
    </row>
    <row r="60" spans="2:11" ht="15.75" thickBot="1">
      <c r="B60" s="1032">
        <v>1</v>
      </c>
      <c r="C60" s="890"/>
      <c r="D60" s="37" t="s">
        <v>1509</v>
      </c>
      <c r="E60" s="870" t="s">
        <v>1519</v>
      </c>
      <c r="F60" s="4"/>
      <c r="G60" s="4"/>
      <c r="H60" s="4"/>
      <c r="I60" s="4"/>
      <c r="J60" s="4"/>
      <c r="K60" s="4"/>
    </row>
    <row r="61" spans="2:11" ht="15.75" thickBot="1">
      <c r="B61" s="1033"/>
      <c r="C61" s="890"/>
      <c r="D61" s="845" t="s">
        <v>10</v>
      </c>
      <c r="E61" s="870" t="s">
        <v>1520</v>
      </c>
      <c r="F61" s="4"/>
      <c r="G61" s="4"/>
      <c r="H61" s="4"/>
      <c r="I61" s="4"/>
      <c r="J61" s="4"/>
      <c r="K61" s="4"/>
    </row>
    <row r="62" spans="2:11" ht="15.75" thickBot="1">
      <c r="B62" s="1033"/>
      <c r="C62" s="890"/>
      <c r="D62" s="845" t="s">
        <v>1512</v>
      </c>
      <c r="E62" s="127"/>
      <c r="F62" s="4"/>
      <c r="G62" s="4"/>
      <c r="H62" s="4"/>
      <c r="I62" s="4"/>
      <c r="J62" s="4"/>
      <c r="K62" s="4"/>
    </row>
    <row r="63" spans="2:11" ht="15.75" thickBot="1">
      <c r="B63" s="1033"/>
      <c r="C63" s="890"/>
      <c r="D63" s="845" t="s">
        <v>13</v>
      </c>
      <c r="E63" s="127"/>
      <c r="F63" s="4"/>
      <c r="G63" s="4"/>
      <c r="H63" s="4"/>
      <c r="I63" s="4"/>
      <c r="J63" s="4"/>
      <c r="K63" s="4"/>
    </row>
    <row r="64" spans="2:11" ht="15.75" thickBot="1">
      <c r="B64" s="1033"/>
      <c r="C64" s="890"/>
      <c r="D64" s="845" t="s">
        <v>16</v>
      </c>
      <c r="E64" s="127"/>
      <c r="F64" s="4"/>
      <c r="G64" s="4"/>
      <c r="H64" s="4"/>
      <c r="I64" s="4"/>
      <c r="J64" s="4"/>
      <c r="K64" s="4"/>
    </row>
    <row r="65" spans="2:11" ht="15.75" thickBot="1">
      <c r="B65" s="1033"/>
      <c r="C65" s="890"/>
      <c r="D65" s="845" t="s">
        <v>19</v>
      </c>
      <c r="E65" s="127"/>
      <c r="F65" s="4"/>
      <c r="G65" s="4"/>
      <c r="H65" s="4"/>
      <c r="I65" s="4"/>
      <c r="J65" s="4"/>
      <c r="K65" s="4"/>
    </row>
    <row r="66" spans="2:11" ht="15.75" thickBot="1">
      <c r="B66" s="1034"/>
      <c r="C66" s="857"/>
      <c r="D66" s="845" t="s">
        <v>1516</v>
      </c>
      <c r="E66" s="127"/>
      <c r="F66" s="4"/>
      <c r="G66" s="4"/>
      <c r="H66" s="4"/>
      <c r="I66" s="4"/>
      <c r="J66" s="4"/>
      <c r="K66" s="4"/>
    </row>
    <row r="67" spans="2:11" ht="15.75" thickBot="1">
      <c r="B67" s="1"/>
      <c r="C67" s="55"/>
      <c r="D67" s="4"/>
      <c r="E67" s="4"/>
      <c r="F67" s="4"/>
      <c r="G67" s="4"/>
      <c r="H67" s="4"/>
      <c r="I67" s="4"/>
      <c r="J67" s="4"/>
      <c r="K67" s="4"/>
    </row>
    <row r="68" spans="2:11" ht="15.75" thickBot="1">
      <c r="B68" s="1029" t="s">
        <v>1521</v>
      </c>
      <c r="C68" s="1030"/>
      <c r="D68" s="1030"/>
      <c r="E68" s="1030"/>
      <c r="F68" s="1031"/>
      <c r="G68" s="4"/>
      <c r="H68" s="4"/>
      <c r="I68" s="4"/>
      <c r="J68" s="4"/>
      <c r="K68" s="4"/>
    </row>
    <row r="69" spans="2:11" ht="24.75" thickBot="1">
      <c r="B69" s="839" t="s">
        <v>1522</v>
      </c>
      <c r="C69" s="845" t="s">
        <v>1523</v>
      </c>
      <c r="D69" s="845" t="s">
        <v>1524</v>
      </c>
      <c r="E69" s="845" t="s">
        <v>1525</v>
      </c>
      <c r="F69" s="4"/>
      <c r="G69" s="4"/>
      <c r="H69" s="4"/>
      <c r="I69" s="4"/>
      <c r="J69" s="4"/>
      <c r="K69" s="241"/>
    </row>
    <row r="70" spans="2:11" ht="84.75" thickBot="1">
      <c r="B70" s="38">
        <v>42401</v>
      </c>
      <c r="C70" s="845">
        <v>0.01</v>
      </c>
      <c r="D70" s="837" t="s">
        <v>2276</v>
      </c>
      <c r="E70" s="845"/>
      <c r="F70" s="4"/>
      <c r="G70" s="4"/>
      <c r="H70" s="4"/>
      <c r="I70" s="4"/>
      <c r="J70" s="4"/>
      <c r="K70" s="241"/>
    </row>
    <row r="71" spans="2:11" ht="15.75" thickBot="1">
      <c r="B71" s="2"/>
      <c r="C71" s="70"/>
      <c r="D71" s="4"/>
      <c r="E71" s="4"/>
      <c r="F71" s="4"/>
      <c r="G71" s="4"/>
      <c r="H71" s="4"/>
      <c r="I71" s="4"/>
      <c r="J71" s="4"/>
      <c r="K71" s="4"/>
    </row>
    <row r="72" spans="2:11">
      <c r="B72" s="879" t="s">
        <v>1406</v>
      </c>
      <c r="C72" s="71"/>
      <c r="D72" s="4"/>
      <c r="E72" s="4"/>
      <c r="F72" s="4"/>
      <c r="G72" s="4"/>
      <c r="H72" s="4"/>
      <c r="I72" s="4"/>
      <c r="J72" s="4"/>
      <c r="K72" s="4"/>
    </row>
    <row r="73" spans="2:11">
      <c r="B73" s="1188"/>
      <c r="C73" s="1189"/>
      <c r="D73" s="1189"/>
      <c r="E73" s="1189"/>
      <c r="F73" s="1190"/>
      <c r="G73" s="4"/>
      <c r="H73" s="4"/>
      <c r="I73" s="4"/>
      <c r="J73" s="4"/>
      <c r="K73" s="4"/>
    </row>
    <row r="74" spans="2:11">
      <c r="B74" s="1191"/>
      <c r="C74" s="1192"/>
      <c r="D74" s="1192"/>
      <c r="E74" s="1192"/>
      <c r="F74" s="1193"/>
      <c r="G74" s="4"/>
      <c r="H74" s="4"/>
      <c r="I74" s="4"/>
      <c r="J74" s="4"/>
      <c r="K74" s="4"/>
    </row>
    <row r="75" spans="2:11">
      <c r="B75" s="1"/>
      <c r="C75" s="55"/>
      <c r="D75" s="4"/>
      <c r="E75" s="4"/>
      <c r="F75" s="4"/>
      <c r="G75" s="4"/>
      <c r="H75" s="4"/>
      <c r="I75" s="4"/>
      <c r="J75" s="4"/>
      <c r="K75" s="4"/>
    </row>
    <row r="76" spans="2:11" ht="15.75" thickBot="1">
      <c r="B76" s="4"/>
      <c r="D76" s="4"/>
      <c r="E76" s="4"/>
      <c r="F76" s="4"/>
      <c r="G76" s="4"/>
      <c r="H76" s="4"/>
      <c r="I76" s="4"/>
      <c r="J76" s="4"/>
      <c r="K76" s="4"/>
    </row>
    <row r="77" spans="2:11" ht="24.75" thickBot="1">
      <c r="B77" s="39" t="s">
        <v>1527</v>
      </c>
      <c r="C77" s="72"/>
      <c r="D77" s="4"/>
      <c r="E77" s="4"/>
      <c r="F77" s="4"/>
      <c r="G77" s="4"/>
      <c r="H77" s="4"/>
      <c r="I77" s="4"/>
      <c r="J77" s="4"/>
      <c r="K77" s="4"/>
    </row>
    <row r="78" spans="2:11" ht="15.75" thickBot="1">
      <c r="B78" s="31"/>
      <c r="C78" s="64"/>
      <c r="D78" s="4"/>
      <c r="E78" s="4"/>
      <c r="F78" s="4"/>
      <c r="G78" s="4"/>
      <c r="H78" s="4"/>
      <c r="I78" s="4"/>
      <c r="J78" s="4"/>
      <c r="K78" s="4"/>
    </row>
    <row r="79" spans="2:11" ht="84.75" thickBot="1">
      <c r="B79" s="40" t="s">
        <v>1528</v>
      </c>
      <c r="C79" s="878"/>
      <c r="D79" s="842" t="s">
        <v>2277</v>
      </c>
      <c r="E79" s="4"/>
      <c r="F79" s="4"/>
      <c r="G79" s="4"/>
      <c r="H79" s="4"/>
      <c r="I79" s="4"/>
      <c r="J79" s="4"/>
      <c r="K79" s="4"/>
    </row>
    <row r="80" spans="2:11">
      <c r="B80" s="1032" t="s">
        <v>1530</v>
      </c>
      <c r="C80" s="890"/>
      <c r="D80" s="836" t="s">
        <v>1531</v>
      </c>
      <c r="E80" s="4"/>
      <c r="F80" s="4"/>
      <c r="G80" s="4"/>
      <c r="H80" s="4"/>
      <c r="I80" s="4"/>
      <c r="J80" s="4"/>
      <c r="K80" s="4"/>
    </row>
    <row r="81" spans="2:11" ht="120">
      <c r="B81" s="1033"/>
      <c r="C81" s="890"/>
      <c r="D81" s="829" t="s">
        <v>2278</v>
      </c>
      <c r="E81" s="4"/>
      <c r="F81" s="4"/>
      <c r="G81" s="4"/>
      <c r="H81" s="4"/>
      <c r="I81" s="4"/>
      <c r="J81" s="4"/>
      <c r="K81" s="4"/>
    </row>
    <row r="82" spans="2:11">
      <c r="B82" s="1033"/>
      <c r="C82" s="890"/>
      <c r="D82" s="836" t="s">
        <v>1534</v>
      </c>
      <c r="E82" s="4"/>
      <c r="F82" s="4"/>
      <c r="G82" s="4"/>
      <c r="H82" s="4"/>
      <c r="I82" s="4"/>
      <c r="J82" s="4"/>
      <c r="K82" s="4"/>
    </row>
    <row r="83" spans="2:11">
      <c r="B83" s="1033"/>
      <c r="C83" s="890"/>
      <c r="D83" s="829" t="s">
        <v>2279</v>
      </c>
      <c r="E83" s="4"/>
      <c r="F83" s="4"/>
      <c r="G83" s="4"/>
      <c r="H83" s="4"/>
      <c r="I83" s="4"/>
      <c r="J83" s="4"/>
      <c r="K83" s="4"/>
    </row>
    <row r="84" spans="2:11" ht="24">
      <c r="B84" s="1033"/>
      <c r="C84" s="890"/>
      <c r="D84" s="829" t="s">
        <v>2280</v>
      </c>
      <c r="E84" s="4"/>
      <c r="F84" s="4"/>
      <c r="G84" s="4"/>
      <c r="H84" s="4"/>
      <c r="I84" s="4"/>
      <c r="J84" s="4"/>
      <c r="K84" s="4"/>
    </row>
    <row r="85" spans="2:11">
      <c r="B85" s="1033"/>
      <c r="C85" s="890"/>
      <c r="D85" s="836" t="s">
        <v>1797</v>
      </c>
      <c r="E85" s="4"/>
      <c r="F85" s="4"/>
      <c r="G85" s="4"/>
      <c r="H85" s="4"/>
      <c r="I85" s="4"/>
      <c r="J85" s="4"/>
      <c r="K85" s="4"/>
    </row>
    <row r="86" spans="2:11" ht="24">
      <c r="B86" s="1033"/>
      <c r="C86" s="890"/>
      <c r="D86" s="829" t="s">
        <v>2281</v>
      </c>
      <c r="E86" s="4"/>
      <c r="F86" s="4"/>
      <c r="G86" s="4"/>
      <c r="H86" s="4"/>
      <c r="I86" s="4"/>
      <c r="J86" s="4"/>
      <c r="K86" s="4"/>
    </row>
    <row r="87" spans="2:11" ht="24.75" thickBot="1">
      <c r="B87" s="1034"/>
      <c r="C87" s="857"/>
      <c r="D87" s="845" t="s">
        <v>2282</v>
      </c>
      <c r="E87" s="4"/>
      <c r="F87" s="4"/>
      <c r="G87" s="4"/>
      <c r="H87" s="4"/>
      <c r="I87" s="4"/>
      <c r="J87" s="4"/>
      <c r="K87" s="4"/>
    </row>
    <row r="88" spans="2:11" ht="24.75" thickBot="1">
      <c r="B88" s="839" t="s">
        <v>1543</v>
      </c>
      <c r="C88" s="857"/>
      <c r="D88" s="845"/>
      <c r="E88" s="4"/>
      <c r="F88" s="4"/>
      <c r="G88" s="4"/>
      <c r="H88" s="4"/>
      <c r="I88" s="4"/>
      <c r="J88" s="4"/>
      <c r="K88" s="4"/>
    </row>
    <row r="89" spans="2:11" ht="108">
      <c r="B89" s="1032" t="s">
        <v>1544</v>
      </c>
      <c r="C89" s="890"/>
      <c r="D89" s="829" t="s">
        <v>2283</v>
      </c>
      <c r="E89" s="4"/>
      <c r="F89" s="4"/>
      <c r="G89" s="4"/>
      <c r="H89" s="4"/>
      <c r="I89" s="4"/>
      <c r="J89" s="4"/>
      <c r="K89" s="4"/>
    </row>
    <row r="90" spans="2:11">
      <c r="B90" s="1033"/>
      <c r="C90" s="890"/>
      <c r="D90" s="829" t="s">
        <v>2284</v>
      </c>
      <c r="E90" s="4"/>
      <c r="F90" s="4"/>
      <c r="G90" s="4"/>
      <c r="H90" s="4"/>
      <c r="I90" s="4"/>
      <c r="J90" s="4"/>
      <c r="K90" s="4"/>
    </row>
    <row r="91" spans="2:11" ht="108">
      <c r="B91" s="1033"/>
      <c r="C91" s="890"/>
      <c r="D91" s="829" t="s">
        <v>2285</v>
      </c>
      <c r="E91" s="4"/>
      <c r="F91" s="4"/>
      <c r="G91" s="4"/>
      <c r="H91" s="4"/>
      <c r="I91" s="4"/>
      <c r="J91" s="4"/>
      <c r="K91" s="4"/>
    </row>
    <row r="92" spans="2:11" ht="108">
      <c r="B92" s="1033"/>
      <c r="C92" s="890"/>
      <c r="D92" s="829" t="s">
        <v>2286</v>
      </c>
      <c r="E92" s="4"/>
      <c r="F92" s="4"/>
      <c r="G92" s="4"/>
      <c r="H92" s="4"/>
      <c r="I92" s="4"/>
      <c r="J92" s="4"/>
      <c r="K92" s="4"/>
    </row>
    <row r="93" spans="2:11" ht="108">
      <c r="B93" s="1033"/>
      <c r="C93" s="890"/>
      <c r="D93" s="829" t="s">
        <v>2287</v>
      </c>
      <c r="E93" s="4"/>
      <c r="F93" s="4"/>
      <c r="G93" s="4"/>
      <c r="H93" s="4"/>
      <c r="I93" s="4"/>
      <c r="J93" s="4"/>
      <c r="K93" s="4"/>
    </row>
    <row r="94" spans="2:11" ht="84">
      <c r="B94" s="1033"/>
      <c r="C94" s="890"/>
      <c r="D94" s="829" t="s">
        <v>2288</v>
      </c>
      <c r="E94" s="4"/>
      <c r="F94" s="4"/>
      <c r="G94" s="4"/>
      <c r="H94" s="4"/>
      <c r="I94" s="4"/>
      <c r="J94" s="4"/>
      <c r="K94" s="4"/>
    </row>
    <row r="95" spans="2:11" ht="84">
      <c r="B95" s="1033"/>
      <c r="C95" s="890"/>
      <c r="D95" s="829" t="s">
        <v>2289</v>
      </c>
      <c r="E95" s="4"/>
      <c r="F95" s="4"/>
      <c r="G95" s="4"/>
      <c r="H95" s="4"/>
      <c r="I95" s="4"/>
      <c r="J95" s="4"/>
      <c r="K95" s="4"/>
    </row>
    <row r="96" spans="2:11" ht="216">
      <c r="B96" s="1033"/>
      <c r="C96" s="890"/>
      <c r="D96" s="829" t="s">
        <v>2290</v>
      </c>
      <c r="E96" s="4"/>
      <c r="F96" s="4"/>
      <c r="G96" s="4"/>
      <c r="H96" s="4"/>
      <c r="I96" s="4"/>
      <c r="J96" s="4"/>
      <c r="K96" s="4"/>
    </row>
    <row r="97" spans="2:11" ht="168">
      <c r="B97" s="1033"/>
      <c r="C97" s="890"/>
      <c r="D97" s="829" t="s">
        <v>2291</v>
      </c>
      <c r="E97" s="4"/>
      <c r="F97" s="4"/>
      <c r="G97" s="4"/>
      <c r="H97" s="4"/>
      <c r="I97" s="4"/>
      <c r="J97" s="4"/>
      <c r="K97" s="4"/>
    </row>
    <row r="98" spans="2:11" ht="24">
      <c r="B98" s="1033"/>
      <c r="C98" s="890"/>
      <c r="D98" s="829" t="s">
        <v>2292</v>
      </c>
      <c r="E98" s="4"/>
      <c r="F98" s="4"/>
      <c r="G98" s="4"/>
      <c r="H98" s="4"/>
      <c r="I98" s="4"/>
      <c r="J98" s="4"/>
      <c r="K98" s="4"/>
    </row>
    <row r="99" spans="2:11" ht="24">
      <c r="B99" s="1033"/>
      <c r="C99" s="890"/>
      <c r="D99" s="851" t="s">
        <v>2293</v>
      </c>
      <c r="E99" s="4"/>
      <c r="F99" s="4"/>
      <c r="G99" s="4"/>
      <c r="H99" s="4"/>
      <c r="I99" s="4"/>
      <c r="J99" s="4"/>
      <c r="K99" s="4"/>
    </row>
    <row r="100" spans="2:11" ht="36">
      <c r="B100" s="1033"/>
      <c r="C100" s="890"/>
      <c r="D100" s="851" t="s">
        <v>2294</v>
      </c>
      <c r="E100" s="4"/>
      <c r="F100" s="4"/>
      <c r="G100" s="4"/>
      <c r="H100" s="4"/>
      <c r="I100" s="4"/>
      <c r="J100" s="4"/>
      <c r="K100" s="4"/>
    </row>
    <row r="101" spans="2:11" ht="48">
      <c r="B101" s="1033"/>
      <c r="C101" s="890"/>
      <c r="D101" s="851" t="s">
        <v>2295</v>
      </c>
      <c r="E101" s="4"/>
      <c r="F101" s="4"/>
      <c r="G101" s="4"/>
      <c r="H101" s="4"/>
      <c r="I101" s="4"/>
      <c r="J101" s="4"/>
      <c r="K101" s="4"/>
    </row>
    <row r="102" spans="2:11" ht="144">
      <c r="B102" s="1033"/>
      <c r="C102" s="890"/>
      <c r="D102" s="829" t="s">
        <v>2296</v>
      </c>
      <c r="E102" s="4"/>
      <c r="F102" s="4"/>
      <c r="G102" s="4"/>
      <c r="H102" s="4"/>
      <c r="I102" s="4"/>
      <c r="J102" s="4"/>
      <c r="K102" s="4"/>
    </row>
    <row r="103" spans="2:11" ht="60">
      <c r="B103" s="1033"/>
      <c r="C103" s="890"/>
      <c r="D103" s="829" t="s">
        <v>2297</v>
      </c>
      <c r="E103" s="4"/>
      <c r="F103" s="4"/>
      <c r="G103" s="4"/>
      <c r="H103" s="4"/>
      <c r="I103" s="4"/>
      <c r="J103" s="4"/>
      <c r="K103" s="4"/>
    </row>
    <row r="104" spans="2:11" ht="36">
      <c r="B104" s="1033"/>
      <c r="C104" s="890"/>
      <c r="D104" s="829" t="s">
        <v>2298</v>
      </c>
      <c r="E104" s="4"/>
      <c r="F104" s="4"/>
      <c r="G104" s="4"/>
      <c r="H104" s="4"/>
      <c r="I104" s="4"/>
      <c r="J104" s="4"/>
      <c r="K104" s="4"/>
    </row>
    <row r="105" spans="2:11" ht="60">
      <c r="B105" s="1033"/>
      <c r="C105" s="890"/>
      <c r="D105" s="47" t="s">
        <v>2299</v>
      </c>
      <c r="E105" s="4"/>
      <c r="F105" s="4"/>
      <c r="G105" s="4"/>
      <c r="H105" s="4"/>
      <c r="I105" s="4"/>
      <c r="J105" s="4"/>
      <c r="K105" s="4"/>
    </row>
    <row r="106" spans="2:11" ht="24">
      <c r="B106" s="1033"/>
      <c r="C106" s="890"/>
      <c r="D106" s="47" t="s">
        <v>2300</v>
      </c>
      <c r="E106" s="4"/>
      <c r="F106" s="4"/>
      <c r="G106" s="4"/>
      <c r="H106" s="4"/>
      <c r="I106" s="4"/>
      <c r="J106" s="4"/>
      <c r="K106" s="4"/>
    </row>
    <row r="107" spans="2:11" ht="24">
      <c r="B107" s="1033"/>
      <c r="C107" s="890"/>
      <c r="D107" s="47" t="s">
        <v>2301</v>
      </c>
      <c r="E107" s="4"/>
      <c r="F107" s="4"/>
      <c r="G107" s="4"/>
      <c r="H107" s="4"/>
      <c r="I107" s="4"/>
      <c r="J107" s="4"/>
      <c r="K107" s="4"/>
    </row>
    <row r="108" spans="2:11" ht="36.75" thickBot="1">
      <c r="B108" s="1034"/>
      <c r="C108" s="857"/>
      <c r="D108" s="48" t="s">
        <v>2302</v>
      </c>
      <c r="E108" s="4"/>
      <c r="F108" s="4"/>
      <c r="G108" s="4"/>
      <c r="H108" s="4"/>
      <c r="I108" s="4"/>
      <c r="J108" s="4"/>
      <c r="K108" s="4"/>
    </row>
    <row r="109" spans="2:11" ht="36">
      <c r="B109" s="1032" t="s">
        <v>1561</v>
      </c>
      <c r="C109" s="890"/>
      <c r="D109" s="836" t="s">
        <v>2303</v>
      </c>
      <c r="E109" s="4"/>
      <c r="F109" s="4"/>
      <c r="G109" s="4"/>
      <c r="H109" s="4"/>
      <c r="I109" s="4"/>
      <c r="J109" s="4"/>
      <c r="K109" s="4"/>
    </row>
    <row r="110" spans="2:11">
      <c r="B110" s="1033"/>
      <c r="C110" s="890"/>
      <c r="D110" s="826"/>
      <c r="E110" s="4"/>
      <c r="F110" s="4"/>
      <c r="G110" s="4"/>
      <c r="H110" s="4"/>
      <c r="I110" s="4"/>
      <c r="J110" s="4"/>
      <c r="K110" s="4"/>
    </row>
    <row r="111" spans="2:11">
      <c r="B111" s="1033"/>
      <c r="C111" s="890"/>
      <c r="D111" s="829" t="s">
        <v>1562</v>
      </c>
      <c r="E111" s="4"/>
      <c r="F111" s="4"/>
      <c r="G111" s="4"/>
      <c r="H111" s="4"/>
      <c r="I111" s="4"/>
      <c r="J111" s="4"/>
      <c r="K111" s="4"/>
    </row>
    <row r="112" spans="2:11" ht="49.5">
      <c r="B112" s="1033"/>
      <c r="C112" s="890"/>
      <c r="D112" s="829" t="s">
        <v>2304</v>
      </c>
      <c r="E112" s="4"/>
      <c r="F112" s="4"/>
      <c r="G112" s="4"/>
      <c r="H112" s="4"/>
      <c r="I112" s="4"/>
      <c r="J112" s="4"/>
      <c r="K112" s="4"/>
    </row>
    <row r="113" spans="2:11" ht="37.5">
      <c r="B113" s="1033"/>
      <c r="C113" s="890"/>
      <c r="D113" s="829" t="s">
        <v>2305</v>
      </c>
      <c r="E113" s="4"/>
      <c r="F113" s="4"/>
      <c r="G113" s="4"/>
      <c r="H113" s="4"/>
      <c r="I113" s="4"/>
      <c r="J113" s="4"/>
      <c r="K113" s="4"/>
    </row>
    <row r="114" spans="2:11" ht="49.5">
      <c r="B114" s="1033"/>
      <c r="C114" s="890"/>
      <c r="D114" s="829" t="s">
        <v>2306</v>
      </c>
      <c r="E114" s="4"/>
      <c r="F114" s="4"/>
      <c r="G114" s="4"/>
      <c r="H114" s="4"/>
      <c r="I114" s="4"/>
      <c r="J114" s="4"/>
      <c r="K114" s="4"/>
    </row>
    <row r="115" spans="2:11">
      <c r="B115" s="1033"/>
      <c r="C115" s="890"/>
      <c r="D115" s="836" t="s">
        <v>1726</v>
      </c>
      <c r="E115" s="4"/>
      <c r="F115" s="4"/>
      <c r="G115" s="4"/>
      <c r="H115" s="4"/>
      <c r="I115" s="4"/>
      <c r="J115" s="4"/>
      <c r="K115" s="4"/>
    </row>
    <row r="116" spans="2:11" ht="48">
      <c r="B116" s="1033"/>
      <c r="C116" s="890"/>
      <c r="D116" s="836" t="s">
        <v>2251</v>
      </c>
      <c r="E116" s="4"/>
      <c r="F116" s="4"/>
      <c r="G116" s="4"/>
      <c r="H116" s="4"/>
      <c r="I116" s="4"/>
      <c r="J116" s="4"/>
      <c r="K116" s="4"/>
    </row>
    <row r="117" spans="2:11">
      <c r="B117" s="1033"/>
      <c r="C117" s="890"/>
      <c r="D117" s="826"/>
      <c r="E117" s="4"/>
      <c r="F117" s="4"/>
      <c r="G117" s="4"/>
      <c r="H117" s="4"/>
      <c r="I117" s="4"/>
      <c r="J117" s="4"/>
      <c r="K117" s="4"/>
    </row>
    <row r="118" spans="2:11">
      <c r="B118" s="1033"/>
      <c r="C118" s="890"/>
      <c r="D118" s="829" t="s">
        <v>1562</v>
      </c>
      <c r="E118" s="4"/>
      <c r="F118" s="4"/>
      <c r="G118" s="4"/>
      <c r="H118" s="4"/>
      <c r="I118" s="4"/>
      <c r="J118" s="4"/>
      <c r="K118" s="4"/>
    </row>
    <row r="119" spans="2:11" ht="61.5">
      <c r="B119" s="1033"/>
      <c r="C119" s="890"/>
      <c r="D119" s="829" t="s">
        <v>2307</v>
      </c>
      <c r="E119" s="4"/>
      <c r="F119" s="4"/>
      <c r="G119" s="4"/>
      <c r="H119" s="4"/>
      <c r="I119" s="4"/>
      <c r="J119" s="4"/>
      <c r="K119" s="4"/>
    </row>
    <row r="120" spans="2:11" ht="61.5">
      <c r="B120" s="1033"/>
      <c r="C120" s="890"/>
      <c r="D120" s="829" t="s">
        <v>2308</v>
      </c>
      <c r="E120" s="4"/>
      <c r="F120" s="4"/>
      <c r="G120" s="4"/>
      <c r="H120" s="4"/>
      <c r="I120" s="4"/>
      <c r="J120" s="4"/>
      <c r="K120" s="4"/>
    </row>
    <row r="121" spans="2:11" ht="62.25" thickBot="1">
      <c r="B121" s="1034"/>
      <c r="C121" s="857"/>
      <c r="D121" s="845" t="s">
        <v>2309</v>
      </c>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sheetData>
  <sheetProtection insertRows="0"/>
  <mergeCells count="40">
    <mergeCell ref="A1:P1"/>
    <mergeCell ref="A2:P2"/>
    <mergeCell ref="A3:P3"/>
    <mergeCell ref="A4:D4"/>
    <mergeCell ref="A5:P5"/>
    <mergeCell ref="B15:B20"/>
    <mergeCell ref="B73:F74"/>
    <mergeCell ref="B68:F68"/>
    <mergeCell ref="D22:K22"/>
    <mergeCell ref="D23:K23"/>
    <mergeCell ref="D34:K34"/>
    <mergeCell ref="D35:K35"/>
    <mergeCell ref="B50:E50"/>
    <mergeCell ref="B51:B57"/>
    <mergeCell ref="F24:F26"/>
    <mergeCell ref="G24:J24"/>
    <mergeCell ref="H25:H26"/>
    <mergeCell ref="I25:I26"/>
    <mergeCell ref="J25:J26"/>
    <mergeCell ref="C36:C38"/>
    <mergeCell ref="D15:K15"/>
    <mergeCell ref="B89:B108"/>
    <mergeCell ref="B109:B121"/>
    <mergeCell ref="C24:C26"/>
    <mergeCell ref="D24:D26"/>
    <mergeCell ref="E24:E26"/>
    <mergeCell ref="B80:B87"/>
    <mergeCell ref="B59:E59"/>
    <mergeCell ref="B60:B66"/>
    <mergeCell ref="D16:K16"/>
    <mergeCell ref="D21:K21"/>
    <mergeCell ref="D36:D38"/>
    <mergeCell ref="E36:F36"/>
    <mergeCell ref="E37:E38"/>
    <mergeCell ref="G37:G38"/>
    <mergeCell ref="B10:D10"/>
    <mergeCell ref="F10:S10"/>
    <mergeCell ref="F11:S11"/>
    <mergeCell ref="E12:R12"/>
    <mergeCell ref="E13:R13"/>
  </mergeCells>
  <conditionalFormatting sqref="D45">
    <cfRule type="containsText" dxfId="57" priority="5" operator="containsText" text="ERROR">
      <formula>NOT(ISERROR(SEARCH("ERROR",D45)))</formula>
    </cfRule>
  </conditionalFormatting>
  <conditionalFormatting sqref="F10">
    <cfRule type="notContainsBlanks" dxfId="56" priority="4">
      <formula>LEN(TRIM(F10))&gt;0</formula>
    </cfRule>
  </conditionalFormatting>
  <conditionalFormatting sqref="F11:S11">
    <cfRule type="expression" dxfId="55" priority="2">
      <formula>E11="NO SE REPORTA"</formula>
    </cfRule>
    <cfRule type="expression" dxfId="54" priority="3">
      <formula>E10="NO APLICA"</formula>
    </cfRule>
  </conditionalFormatting>
  <conditionalFormatting sqref="E12:R12">
    <cfRule type="expression" dxfId="5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A00-000000000000}">
      <formula1>0</formula1>
    </dataValidation>
    <dataValidation type="whole" operator="greaterThanOrEqual" allowBlank="1" showInputMessage="1" showErrorMessage="1" errorTitle="ERROR" error="Valor en PESOS (sin centavos)" sqref="G27:J32" xr:uid="{00000000-0002-0000-1A00-000001000000}">
      <formula1>0</formula1>
    </dataValidation>
    <dataValidation type="decimal" allowBlank="1" showInputMessage="1" showErrorMessage="1" errorTitle="ERROR" error="Escriba un valor entre 0% y 100%" sqref="D39:D44" xr:uid="{00000000-0002-0000-1A00-000002000000}">
      <formula1>0</formula1>
      <formula2>1</formula2>
    </dataValidation>
    <dataValidation allowBlank="1" showInputMessage="1" showErrorMessage="1" sqref="D45 I18:I19 G33:J33 E39:F45" xr:uid="{00000000-0002-0000-1A00-000003000000}"/>
    <dataValidation type="list" allowBlank="1" showInputMessage="1" showErrorMessage="1" sqref="E11" xr:uid="{00000000-0002-0000-1A00-000004000000}">
      <formula1>REPORTE</formula1>
    </dataValidation>
    <dataValidation type="list" allowBlank="1" showInputMessage="1" showErrorMessage="1" sqref="E10" xr:uid="{00000000-0002-0000-1A00-000005000000}">
      <formula1>SI</formula1>
    </dataValidation>
  </dataValidations>
  <hyperlinks>
    <hyperlink ref="B9" location="'ANEXO 3'!A1" display="VOLVER AL INDICE" xr:uid="{00000000-0004-0000-1A00-000000000000}"/>
    <hyperlink ref="E55" r:id="rId1" xr:uid="{00000000-0004-0000-1A00-000001000000}"/>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188"/>
  <sheetViews>
    <sheetView showGridLines="0" topLeftCell="A4" zoomScale="98" zoomScaleNormal="98" workbookViewId="0">
      <selection activeCell="D23" sqref="D23"/>
    </sheetView>
  </sheetViews>
  <sheetFormatPr defaultColWidth="10.7109375" defaultRowHeight="15"/>
  <cols>
    <col min="1" max="1" width="1.85546875" customWidth="1"/>
    <col min="2" max="2" width="12.85546875" customWidth="1"/>
    <col min="3" max="3" width="5" style="63" bestFit="1" customWidth="1"/>
    <col min="4" max="4" width="34.85546875" customWidth="1"/>
    <col min="5" max="5" width="24.85546875" customWidth="1"/>
  </cols>
  <sheetData>
    <row r="1" spans="1:21" s="333" customFormat="1" ht="100.5" customHeight="1" thickBot="1">
      <c r="A1" s="992"/>
      <c r="B1" s="993"/>
      <c r="C1" s="993"/>
      <c r="D1" s="993"/>
      <c r="E1" s="993"/>
      <c r="F1" s="993"/>
      <c r="G1" s="993"/>
      <c r="H1" s="993"/>
      <c r="I1" s="993"/>
      <c r="J1" s="993"/>
      <c r="K1" s="993"/>
      <c r="L1" s="993"/>
      <c r="M1" s="993"/>
      <c r="N1" s="993"/>
      <c r="O1" s="993"/>
      <c r="P1" s="994"/>
      <c r="Q1" s="241"/>
      <c r="R1" s="241"/>
    </row>
    <row r="2" spans="1:21"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334" customFormat="1" ht="16.5" thickBot="1">
      <c r="A3" s="995" t="s">
        <v>1401</v>
      </c>
      <c r="B3" s="996"/>
      <c r="C3" s="996"/>
      <c r="D3" s="996"/>
      <c r="E3" s="996"/>
      <c r="F3" s="996"/>
      <c r="G3" s="996"/>
      <c r="H3" s="996"/>
      <c r="I3" s="996"/>
      <c r="J3" s="996"/>
      <c r="K3" s="996"/>
      <c r="L3" s="996"/>
      <c r="M3" s="996"/>
      <c r="N3" s="996"/>
      <c r="O3" s="996"/>
      <c r="P3" s="997"/>
      <c r="Q3" s="241"/>
      <c r="R3" s="241"/>
    </row>
    <row r="4" spans="1:21" s="334" customFormat="1" ht="16.5" thickBot="1">
      <c r="A4" s="998" t="s">
        <v>55</v>
      </c>
      <c r="B4" s="999"/>
      <c r="C4" s="999"/>
      <c r="D4" s="999"/>
      <c r="E4" s="370" t="str">
        <f>'Datos Generales'!C6</f>
        <v>2020-II</v>
      </c>
      <c r="F4" s="370"/>
      <c r="G4" s="370"/>
      <c r="H4" s="370"/>
      <c r="I4" s="370"/>
      <c r="J4" s="370"/>
      <c r="K4" s="370"/>
      <c r="L4" s="372"/>
      <c r="M4" s="372"/>
      <c r="N4" s="372"/>
      <c r="O4" s="372"/>
      <c r="P4" s="373"/>
      <c r="Q4" s="241"/>
      <c r="R4" s="241"/>
    </row>
    <row r="5" spans="1:21" s="177" customFormat="1" ht="16.5" customHeight="1" thickBot="1">
      <c r="A5" s="995" t="s">
        <v>754</v>
      </c>
      <c r="B5" s="996"/>
      <c r="C5" s="996"/>
      <c r="D5" s="996"/>
      <c r="E5" s="996"/>
      <c r="F5" s="996"/>
      <c r="G5" s="996"/>
      <c r="H5" s="996"/>
      <c r="I5" s="996"/>
      <c r="J5" s="996"/>
      <c r="K5" s="996"/>
      <c r="L5" s="996"/>
      <c r="M5" s="996"/>
      <c r="N5" s="996"/>
      <c r="O5" s="996"/>
      <c r="P5" s="997"/>
    </row>
    <row r="6" spans="1:21">
      <c r="A6" s="241"/>
      <c r="B6" s="1" t="s">
        <v>1437</v>
      </c>
      <c r="C6" s="55"/>
      <c r="D6" s="4"/>
      <c r="E6" s="53"/>
      <c r="F6" s="4" t="s">
        <v>1438</v>
      </c>
      <c r="G6" s="4"/>
      <c r="H6" s="4"/>
      <c r="I6" s="4"/>
      <c r="J6" s="4"/>
      <c r="K6" s="4"/>
      <c r="L6" s="241"/>
      <c r="M6" s="241"/>
      <c r="N6" s="241"/>
      <c r="O6" s="241"/>
      <c r="P6" s="241"/>
      <c r="Q6" s="241"/>
      <c r="R6" s="241"/>
      <c r="S6" s="241"/>
      <c r="T6" s="241"/>
      <c r="U6" s="241"/>
    </row>
    <row r="7" spans="1:21" ht="15.75" thickBot="1">
      <c r="A7" s="241"/>
      <c r="B7" s="54"/>
      <c r="C7" s="56"/>
      <c r="D7" s="4"/>
      <c r="E7" s="13"/>
      <c r="F7" s="4" t="s">
        <v>1439</v>
      </c>
      <c r="G7" s="4"/>
      <c r="H7" s="4"/>
      <c r="I7" s="4"/>
      <c r="J7" s="4"/>
      <c r="K7" s="4"/>
      <c r="L7" s="241"/>
      <c r="M7" s="241"/>
      <c r="N7" s="241"/>
      <c r="O7" s="241"/>
      <c r="P7" s="241"/>
      <c r="Q7" s="241"/>
      <c r="R7" s="241"/>
      <c r="S7" s="241"/>
      <c r="T7" s="241"/>
      <c r="U7" s="241"/>
    </row>
    <row r="8" spans="1:21" ht="15.75" thickBot="1">
      <c r="A8" s="241"/>
      <c r="B8" s="131" t="s">
        <v>1440</v>
      </c>
      <c r="C8" s="164">
        <v>2020</v>
      </c>
      <c r="D8" s="169">
        <f>IF(E10="NO APLICA","NO APLICA",IF(E11="NO SE REPORTA","SIN INFORMACION",+I35))</f>
        <v>0.55000000000000004</v>
      </c>
      <c r="E8" s="165"/>
      <c r="F8" s="4" t="s">
        <v>1441</v>
      </c>
      <c r="G8" s="4"/>
      <c r="H8" s="4"/>
      <c r="I8" s="4"/>
      <c r="J8" s="4"/>
      <c r="K8" s="4"/>
      <c r="L8" s="241"/>
      <c r="M8" s="241"/>
      <c r="N8" s="241"/>
      <c r="O8" s="241"/>
      <c r="P8" s="241"/>
      <c r="Q8" s="241"/>
      <c r="R8" s="241"/>
      <c r="S8" s="241"/>
      <c r="T8" s="241"/>
      <c r="U8" s="241"/>
    </row>
    <row r="9" spans="1:21">
      <c r="A9" s="241"/>
      <c r="B9" s="300" t="s">
        <v>1442</v>
      </c>
      <c r="D9" s="4"/>
      <c r="E9" s="4"/>
      <c r="F9" s="4"/>
      <c r="G9" s="4"/>
      <c r="H9" s="4"/>
      <c r="I9" s="4"/>
      <c r="J9" s="4"/>
      <c r="K9" s="4"/>
      <c r="L9" s="241"/>
      <c r="M9" s="241"/>
      <c r="N9" s="241"/>
      <c r="O9" s="241"/>
      <c r="P9" s="241"/>
      <c r="Q9" s="241"/>
      <c r="R9" s="241"/>
      <c r="S9" s="241"/>
      <c r="T9" s="241"/>
      <c r="U9" s="241"/>
    </row>
    <row r="10" spans="1:21" s="241" customFormat="1">
      <c r="A10" s="177"/>
      <c r="B10" s="1108" t="s">
        <v>1443</v>
      </c>
      <c r="C10" s="1108"/>
      <c r="D10" s="1108"/>
      <c r="E10" s="306" t="s">
        <v>1444</v>
      </c>
      <c r="F10" s="110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10"/>
      <c r="H10" s="1110"/>
      <c r="I10" s="1110"/>
      <c r="J10" s="1110"/>
      <c r="K10" s="1110"/>
      <c r="L10" s="1110"/>
      <c r="M10" s="1110"/>
      <c r="N10" s="1110"/>
      <c r="O10" s="1110"/>
      <c r="P10" s="1110"/>
      <c r="Q10" s="1110"/>
      <c r="R10" s="1110"/>
      <c r="S10" s="1110"/>
      <c r="T10" s="302"/>
      <c r="U10" s="302"/>
    </row>
    <row r="11" spans="1:21" s="241" customFormat="1" ht="14.45" customHeight="1">
      <c r="A11" s="177"/>
      <c r="B11" s="303"/>
      <c r="C11" s="304"/>
      <c r="D11" s="305" t="str">
        <f>IF(E10="SI APLICA","¿El indicador no se reporta por limitaciones de información disponible? ","")</f>
        <v xml:space="preserve">¿El indicador no se reporta por limitaciones de información disponible? </v>
      </c>
      <c r="E11" s="307" t="s">
        <v>1445</v>
      </c>
      <c r="F11" s="1111"/>
      <c r="G11" s="1112"/>
      <c r="H11" s="1112"/>
      <c r="I11" s="1112"/>
      <c r="J11" s="1112"/>
      <c r="K11" s="1112"/>
      <c r="L11" s="1112"/>
      <c r="M11" s="1112"/>
      <c r="N11" s="1112"/>
      <c r="O11" s="1112"/>
      <c r="P11" s="1112"/>
      <c r="Q11" s="1112"/>
      <c r="R11" s="1112"/>
      <c r="S11" s="1112"/>
    </row>
    <row r="12" spans="1:21" s="241" customFormat="1" ht="23.45" customHeight="1">
      <c r="A12" s="177"/>
      <c r="B12" s="300"/>
      <c r="C12" s="206"/>
      <c r="D12" s="305" t="str">
        <f>IF(E11="SI SE REPORTA","¿Qué programas o proyectos del Plan de Acción están asociados al indicador? ","")</f>
        <v xml:space="preserve">¿Qué programas o proyectos del Plan de Acción están asociados al indicador? </v>
      </c>
      <c r="E12" s="1113" t="s">
        <v>2310</v>
      </c>
      <c r="F12" s="1113"/>
      <c r="G12" s="1113"/>
      <c r="H12" s="1113"/>
      <c r="I12" s="1113"/>
      <c r="J12" s="1113"/>
      <c r="K12" s="1113"/>
      <c r="L12" s="1113"/>
      <c r="M12" s="1113"/>
      <c r="N12" s="1113"/>
      <c r="O12" s="1113"/>
      <c r="P12" s="1113"/>
      <c r="Q12" s="1113"/>
      <c r="R12" s="1113"/>
    </row>
    <row r="13" spans="1:21" s="241" customFormat="1" ht="21.95" customHeight="1">
      <c r="A13" s="177"/>
      <c r="B13" s="300"/>
      <c r="C13" s="206"/>
      <c r="D13" s="305" t="s">
        <v>1447</v>
      </c>
      <c r="E13" s="1057"/>
      <c r="F13" s="1058"/>
      <c r="G13" s="1058"/>
      <c r="H13" s="1058"/>
      <c r="I13" s="1058"/>
      <c r="J13" s="1058"/>
      <c r="K13" s="1058"/>
      <c r="L13" s="1058"/>
      <c r="M13" s="1058"/>
      <c r="N13" s="1058"/>
      <c r="O13" s="1058"/>
      <c r="P13" s="1058"/>
      <c r="Q13" s="1058"/>
      <c r="R13" s="1059"/>
    </row>
    <row r="14" spans="1:21" s="241" customFormat="1" ht="6.95" customHeight="1" thickBot="1">
      <c r="B14" s="300"/>
      <c r="C14" s="63"/>
      <c r="D14" s="4"/>
      <c r="E14" s="4"/>
      <c r="F14" s="4"/>
      <c r="G14" s="4"/>
      <c r="H14" s="4"/>
      <c r="I14" s="4"/>
      <c r="J14" s="4"/>
      <c r="K14" s="4"/>
    </row>
    <row r="15" spans="1:21" ht="15" customHeight="1" thickTop="1">
      <c r="A15" s="241"/>
      <c r="B15" s="1088" t="s">
        <v>1449</v>
      </c>
      <c r="C15" s="65"/>
      <c r="D15" s="1009" t="s">
        <v>1816</v>
      </c>
      <c r="E15" s="1010"/>
      <c r="F15" s="1010"/>
      <c r="G15" s="1010"/>
      <c r="H15" s="1010"/>
      <c r="I15" s="1010"/>
      <c r="J15" s="1010"/>
      <c r="K15" s="1010"/>
      <c r="L15" s="1145"/>
      <c r="M15" s="241"/>
      <c r="N15" s="241"/>
      <c r="O15" s="241"/>
      <c r="P15" s="241"/>
      <c r="Q15" s="241"/>
      <c r="R15" s="241"/>
      <c r="S15" s="241"/>
      <c r="T15" s="241"/>
      <c r="U15" s="241"/>
    </row>
    <row r="16" spans="1:21" ht="15.75" thickBot="1">
      <c r="A16" s="241"/>
      <c r="B16" s="1004"/>
      <c r="C16" s="68"/>
      <c r="D16" s="1174" t="s">
        <v>2311</v>
      </c>
      <c r="E16" s="1175"/>
      <c r="F16" s="1175"/>
      <c r="G16" s="1175"/>
      <c r="H16" s="1175"/>
      <c r="I16" s="1175"/>
      <c r="J16" s="1175"/>
      <c r="K16" s="1175"/>
      <c r="L16" s="1209"/>
      <c r="M16" s="241"/>
      <c r="N16" s="241"/>
      <c r="O16" s="241"/>
      <c r="P16" s="241"/>
      <c r="Q16" s="241"/>
      <c r="R16" s="241"/>
      <c r="S16" s="241"/>
      <c r="T16" s="241"/>
      <c r="U16" s="241"/>
    </row>
    <row r="17" spans="2:12" ht="15.75" thickBot="1">
      <c r="B17" s="1004"/>
      <c r="C17" s="66" t="s">
        <v>1402</v>
      </c>
      <c r="D17" s="872" t="s">
        <v>1707</v>
      </c>
      <c r="E17" s="872" t="s">
        <v>1487</v>
      </c>
      <c r="F17" s="872" t="s">
        <v>1488</v>
      </c>
      <c r="G17" s="872" t="s">
        <v>1489</v>
      </c>
      <c r="H17" s="872" t="s">
        <v>1490</v>
      </c>
      <c r="I17" s="872" t="s">
        <v>2171</v>
      </c>
      <c r="J17" s="4"/>
      <c r="K17" s="241"/>
      <c r="L17" s="17"/>
    </row>
    <row r="18" spans="2:12" ht="24.75" thickBot="1">
      <c r="B18" s="1004"/>
      <c r="C18" s="67" t="s">
        <v>1605</v>
      </c>
      <c r="D18" s="845" t="s">
        <v>2312</v>
      </c>
      <c r="E18" s="5">
        <v>36</v>
      </c>
      <c r="F18" s="5">
        <v>42</v>
      </c>
      <c r="G18" s="5">
        <v>41</v>
      </c>
      <c r="H18" s="5">
        <v>42</v>
      </c>
      <c r="I18" s="106">
        <f>SUM(E18:H18)</f>
        <v>161</v>
      </c>
      <c r="J18" s="4"/>
      <c r="K18" s="241"/>
      <c r="L18" s="17"/>
    </row>
    <row r="19" spans="2:12">
      <c r="B19" s="1004"/>
      <c r="C19" s="68"/>
      <c r="D19" s="1015"/>
      <c r="E19" s="1016"/>
      <c r="F19" s="1016"/>
      <c r="G19" s="1016"/>
      <c r="H19" s="1016"/>
      <c r="I19" s="1016"/>
      <c r="J19" s="1016"/>
      <c r="K19" s="1016"/>
      <c r="L19" s="1146"/>
    </row>
    <row r="20" spans="2:12" ht="15.75" thickBot="1">
      <c r="B20" s="838"/>
      <c r="C20" s="68"/>
      <c r="D20" s="1015" t="s">
        <v>2313</v>
      </c>
      <c r="E20" s="1016"/>
      <c r="F20" s="1016"/>
      <c r="G20" s="1016"/>
      <c r="H20" s="1016"/>
      <c r="I20" s="1016"/>
      <c r="J20" s="1016"/>
      <c r="K20" s="1016"/>
      <c r="L20" s="1146"/>
    </row>
    <row r="21" spans="2:12" ht="15.75" thickBot="1">
      <c r="B21" s="838"/>
      <c r="C21" s="1089" t="s">
        <v>1402</v>
      </c>
      <c r="D21" s="1032" t="s">
        <v>1728</v>
      </c>
      <c r="E21" s="1032" t="s">
        <v>2174</v>
      </c>
      <c r="F21" s="1206" t="s">
        <v>2175</v>
      </c>
      <c r="G21" s="1207"/>
      <c r="H21" s="1207"/>
      <c r="I21" s="1207"/>
      <c r="J21" s="1208"/>
      <c r="K21" s="241"/>
      <c r="L21" s="17"/>
    </row>
    <row r="22" spans="2:12" ht="36.75" thickBot="1">
      <c r="B22" s="838"/>
      <c r="C22" s="1090"/>
      <c r="D22" s="1034"/>
      <c r="E22" s="1034"/>
      <c r="F22" s="845" t="s">
        <v>2176</v>
      </c>
      <c r="G22" s="845" t="s">
        <v>2177</v>
      </c>
      <c r="H22" s="845" t="s">
        <v>2178</v>
      </c>
      <c r="I22" s="845" t="s">
        <v>2179</v>
      </c>
      <c r="J22" s="845" t="s">
        <v>1406</v>
      </c>
      <c r="K22" s="241"/>
      <c r="L22" s="17"/>
    </row>
    <row r="23" spans="2:12" s="241" customFormat="1" ht="48.75" thickBot="1">
      <c r="B23" s="838"/>
      <c r="C23" s="91"/>
      <c r="D23" s="35" t="s">
        <v>2314</v>
      </c>
      <c r="E23" s="35" t="s">
        <v>2315</v>
      </c>
      <c r="F23" s="167">
        <v>0</v>
      </c>
      <c r="G23" s="167">
        <v>0</v>
      </c>
      <c r="H23" s="167"/>
      <c r="I23" s="110">
        <f>+G23*H23</f>
        <v>0</v>
      </c>
      <c r="J23" s="25"/>
      <c r="L23" s="17"/>
    </row>
    <row r="24" spans="2:12" ht="96.75" thickBot="1">
      <c r="B24" s="838"/>
      <c r="C24" s="91"/>
      <c r="D24" s="35" t="s">
        <v>2316</v>
      </c>
      <c r="E24" s="35" t="s">
        <v>2317</v>
      </c>
      <c r="F24" s="167">
        <v>0</v>
      </c>
      <c r="G24" s="167">
        <v>0</v>
      </c>
      <c r="H24" s="167"/>
      <c r="I24" s="110">
        <f>+G24*H24</f>
        <v>0</v>
      </c>
      <c r="J24" s="25"/>
      <c r="K24" s="241"/>
      <c r="L24" s="17"/>
    </row>
    <row r="25" spans="2:12" ht="120.75" thickBot="1">
      <c r="B25" s="838"/>
      <c r="C25" s="91"/>
      <c r="D25" s="35" t="s">
        <v>2318</v>
      </c>
      <c r="E25" s="35" t="s">
        <v>2319</v>
      </c>
      <c r="F25" s="167">
        <v>0.75</v>
      </c>
      <c r="G25" s="167">
        <v>0.75</v>
      </c>
      <c r="H25" s="167">
        <v>0.2</v>
      </c>
      <c r="I25" s="110">
        <f t="shared" ref="I25:I30" si="0">+G25*H25</f>
        <v>0.15000000000000002</v>
      </c>
      <c r="J25" s="25"/>
      <c r="K25" s="241"/>
      <c r="L25" s="17"/>
    </row>
    <row r="26" spans="2:12" ht="108.75" thickBot="1">
      <c r="B26" s="838"/>
      <c r="C26" s="91"/>
      <c r="D26" s="35" t="s">
        <v>2320</v>
      </c>
      <c r="E26" s="35" t="s">
        <v>2321</v>
      </c>
      <c r="F26" s="167">
        <v>0</v>
      </c>
      <c r="G26" s="167">
        <v>0</v>
      </c>
      <c r="H26" s="167"/>
      <c r="I26" s="110">
        <f t="shared" si="0"/>
        <v>0</v>
      </c>
      <c r="J26" s="25"/>
      <c r="K26" s="241"/>
      <c r="L26" s="17"/>
    </row>
    <row r="27" spans="2:12" ht="48.75" thickBot="1">
      <c r="B27" s="838"/>
      <c r="C27" s="91"/>
      <c r="D27" s="35" t="s">
        <v>2322</v>
      </c>
      <c r="E27" s="35" t="s">
        <v>2323</v>
      </c>
      <c r="F27" s="167">
        <v>1</v>
      </c>
      <c r="G27" s="167">
        <v>1</v>
      </c>
      <c r="H27" s="167">
        <v>0.2</v>
      </c>
      <c r="I27" s="110">
        <f t="shared" si="0"/>
        <v>0.2</v>
      </c>
      <c r="J27" s="25"/>
      <c r="K27" s="241"/>
      <c r="L27" s="17"/>
    </row>
    <row r="28" spans="2:12" ht="60.75" thickBot="1">
      <c r="B28" s="838"/>
      <c r="C28" s="91"/>
      <c r="D28" s="35" t="s">
        <v>2324</v>
      </c>
      <c r="E28" s="35" t="s">
        <v>2325</v>
      </c>
      <c r="F28" s="167">
        <v>0</v>
      </c>
      <c r="G28" s="167">
        <v>0</v>
      </c>
      <c r="H28" s="167"/>
      <c r="I28" s="110">
        <f t="shared" si="0"/>
        <v>0</v>
      </c>
      <c r="J28" s="25"/>
      <c r="K28" s="241"/>
      <c r="L28" s="17"/>
    </row>
    <row r="29" spans="2:12" ht="60.75" thickBot="1">
      <c r="B29" s="838"/>
      <c r="C29" s="91"/>
      <c r="D29" s="35" t="s">
        <v>2326</v>
      </c>
      <c r="E29" s="35" t="s">
        <v>2327</v>
      </c>
      <c r="F29" s="167">
        <v>1</v>
      </c>
      <c r="G29" s="167">
        <v>1</v>
      </c>
      <c r="H29" s="167">
        <v>0.2</v>
      </c>
      <c r="I29" s="110">
        <f t="shared" si="0"/>
        <v>0.2</v>
      </c>
      <c r="J29" s="25"/>
      <c r="K29" s="241"/>
      <c r="L29" s="17"/>
    </row>
    <row r="30" spans="2:12" ht="84.75" thickBot="1">
      <c r="B30" s="838"/>
      <c r="C30" s="91"/>
      <c r="D30" s="35" t="s">
        <v>2328</v>
      </c>
      <c r="E30" s="35" t="s">
        <v>2329</v>
      </c>
      <c r="F30" s="167">
        <v>0</v>
      </c>
      <c r="G30" s="167">
        <v>0</v>
      </c>
      <c r="H30" s="167"/>
      <c r="I30" s="110">
        <f t="shared" si="0"/>
        <v>0</v>
      </c>
      <c r="J30" s="25"/>
      <c r="K30" s="241"/>
      <c r="L30" s="17"/>
    </row>
    <row r="31" spans="2:12" s="241" customFormat="1" ht="72.75" thickBot="1">
      <c r="B31" s="838"/>
      <c r="C31" s="91"/>
      <c r="D31" s="35" t="s">
        <v>2330</v>
      </c>
      <c r="E31" s="35" t="s">
        <v>2331</v>
      </c>
      <c r="F31" s="167">
        <v>0</v>
      </c>
      <c r="G31" s="167">
        <v>0</v>
      </c>
      <c r="H31" s="167"/>
      <c r="I31" s="110">
        <f t="shared" ref="I31" si="1">+G31*H31</f>
        <v>0</v>
      </c>
      <c r="J31" s="25"/>
      <c r="L31" s="17"/>
    </row>
    <row r="32" spans="2:12" s="241" customFormat="1" ht="72.75" thickBot="1">
      <c r="B32" s="838"/>
      <c r="C32" s="91"/>
      <c r="D32" s="35" t="s">
        <v>2332</v>
      </c>
      <c r="E32" s="35" t="s">
        <v>2333</v>
      </c>
      <c r="F32" s="167">
        <v>1</v>
      </c>
      <c r="G32" s="167">
        <v>1</v>
      </c>
      <c r="H32" s="167">
        <v>0.2</v>
      </c>
      <c r="I32" s="110">
        <f t="shared" ref="I32" si="2">+G32*H32</f>
        <v>0.2</v>
      </c>
      <c r="J32" s="25"/>
      <c r="L32" s="17"/>
    </row>
    <row r="33" spans="2:12" s="241" customFormat="1" ht="24.75" thickBot="1">
      <c r="B33" s="838"/>
      <c r="C33" s="91"/>
      <c r="D33" s="35" t="s">
        <v>2334</v>
      </c>
      <c r="E33" s="35" t="s">
        <v>2335</v>
      </c>
      <c r="F33" s="167">
        <v>1</v>
      </c>
      <c r="G33" s="167">
        <v>1</v>
      </c>
      <c r="H33" s="167">
        <v>0.2</v>
      </c>
      <c r="I33" s="110">
        <f t="shared" ref="I33" si="3">+G33*H33</f>
        <v>0.2</v>
      </c>
      <c r="J33" s="25"/>
      <c r="L33" s="17"/>
    </row>
    <row r="34" spans="2:12" s="241" customFormat="1" ht="132.75" thickBot="1">
      <c r="B34" s="838"/>
      <c r="C34" s="91"/>
      <c r="D34" s="35" t="s">
        <v>2256</v>
      </c>
      <c r="E34" s="35" t="s">
        <v>2336</v>
      </c>
      <c r="F34" s="167">
        <v>0</v>
      </c>
      <c r="G34" s="167">
        <v>0</v>
      </c>
      <c r="H34" s="167"/>
      <c r="I34" s="110">
        <f t="shared" ref="I34" si="4">+G34*H34</f>
        <v>0</v>
      </c>
      <c r="J34" s="25"/>
      <c r="L34" s="17"/>
    </row>
    <row r="35" spans="2:12" ht="15.75" thickBot="1">
      <c r="B35" s="838"/>
      <c r="C35" s="890"/>
      <c r="D35" s="32"/>
      <c r="E35" s="32" t="s">
        <v>1604</v>
      </c>
      <c r="F35" s="32"/>
      <c r="G35" s="32"/>
      <c r="H35" s="153" t="str">
        <f>Formulas!$D$23</f>
        <v>ERROR: LA SUMA DE LA COLUMNA DEBE SER 100%</v>
      </c>
      <c r="I35" s="110">
        <f>Formulas!$E$23</f>
        <v>0.55000000000000004</v>
      </c>
      <c r="J35" s="25"/>
      <c r="K35" s="241"/>
      <c r="L35" s="17"/>
    </row>
    <row r="36" spans="2:12">
      <c r="B36" s="838"/>
      <c r="C36" s="68"/>
      <c r="D36" s="1015" t="s">
        <v>2190</v>
      </c>
      <c r="E36" s="1016"/>
      <c r="F36" s="1016"/>
      <c r="G36" s="1016"/>
      <c r="H36" s="1016"/>
      <c r="I36" s="1016"/>
      <c r="J36" s="1016"/>
      <c r="K36" s="1016"/>
      <c r="L36" s="1146"/>
    </row>
    <row r="37" spans="2:12">
      <c r="B37" s="838"/>
      <c r="C37" s="68"/>
      <c r="D37" s="1012" t="s">
        <v>1726</v>
      </c>
      <c r="E37" s="1013"/>
      <c r="F37" s="1013"/>
      <c r="G37" s="1013"/>
      <c r="H37" s="1013"/>
      <c r="I37" s="1013"/>
      <c r="J37" s="1013"/>
      <c r="K37" s="1013"/>
      <c r="L37" s="1147"/>
    </row>
    <row r="38" spans="2:12" ht="15.75" thickBot="1">
      <c r="B38" s="838"/>
      <c r="C38" s="68"/>
      <c r="D38" s="1006" t="s">
        <v>2337</v>
      </c>
      <c r="E38" s="1007"/>
      <c r="F38" s="1007"/>
      <c r="G38" s="1007"/>
      <c r="H38" s="1007"/>
      <c r="I38" s="1007"/>
      <c r="J38" s="1007"/>
      <c r="K38" s="1007"/>
      <c r="L38" s="1210"/>
    </row>
    <row r="39" spans="2:12" ht="15.75" thickBot="1">
      <c r="B39" s="838"/>
      <c r="C39" s="1089" t="s">
        <v>1402</v>
      </c>
      <c r="D39" s="1134" t="s">
        <v>1728</v>
      </c>
      <c r="E39" s="1134" t="s">
        <v>2174</v>
      </c>
      <c r="F39" s="1206" t="s">
        <v>2253</v>
      </c>
      <c r="G39" s="1207"/>
      <c r="H39" s="1207"/>
      <c r="I39" s="1207"/>
      <c r="J39" s="1207"/>
      <c r="K39" s="1208"/>
      <c r="L39" s="86"/>
    </row>
    <row r="40" spans="2:12" ht="23.25" thickBot="1">
      <c r="B40" s="838"/>
      <c r="C40" s="1090"/>
      <c r="D40" s="1135"/>
      <c r="E40" s="1135"/>
      <c r="F40" s="49" t="s">
        <v>2338</v>
      </c>
      <c r="G40" s="875" t="s">
        <v>1827</v>
      </c>
      <c r="H40" s="875" t="s">
        <v>1732</v>
      </c>
      <c r="I40" s="875" t="s">
        <v>1733</v>
      </c>
      <c r="J40" s="875" t="s">
        <v>2339</v>
      </c>
      <c r="K40" s="875" t="s">
        <v>2340</v>
      </c>
      <c r="L40" s="9"/>
    </row>
    <row r="41" spans="2:12" s="241" customFormat="1" ht="48.75" thickBot="1">
      <c r="B41" s="838"/>
      <c r="C41" s="278"/>
      <c r="D41" s="275" t="str">
        <f t="shared" ref="D41:E50" si="5">+D23</f>
        <v>3.1.3.2.  Desarrollar un programa de capacitación para formar a jóvenes como Gestores Ambientales Urbanos GAU en el Departamento.</v>
      </c>
      <c r="E41" s="275" t="str">
        <f t="shared" si="5"/>
        <v xml:space="preserve">Formar jóvenes como gestores ambientales urbanos en el Departamento.   </v>
      </c>
      <c r="F41" s="279"/>
      <c r="G41" s="280">
        <v>0</v>
      </c>
      <c r="H41" s="281">
        <v>0</v>
      </c>
      <c r="I41" s="280"/>
      <c r="J41" s="105" t="e">
        <f>+H41/G41</f>
        <v>#DIV/0!</v>
      </c>
      <c r="K41" s="105" t="e">
        <f>+I41/H41</f>
        <v>#DIV/0!</v>
      </c>
      <c r="L41" s="9"/>
    </row>
    <row r="42" spans="2:12" ht="96.75" thickBot="1">
      <c r="B42" s="838"/>
      <c r="C42" s="278"/>
      <c r="D42" s="275" t="str">
        <f t="shared" si="5"/>
        <v xml:space="preserve">4.1.1.1. Implementar Convenios de Producción más Limpia con los sectores de equipamiento urbano </v>
      </c>
      <c r="E42" s="275" t="str">
        <f t="shared" si="5"/>
        <v xml:space="preserve">Convenios de producción más limpia implementados con los sectores: plantas de beneficio de ganado (matadero), cementerios, instituciones educativas, centros de salud, sistemas productivos. </v>
      </c>
      <c r="F42" s="279"/>
      <c r="G42" s="280"/>
      <c r="H42" s="281"/>
      <c r="I42" s="280"/>
      <c r="J42" s="105" t="e">
        <f>+H42/G42</f>
        <v>#DIV/0!</v>
      </c>
      <c r="K42" s="105" t="e">
        <f>+I42/H42</f>
        <v>#DIV/0!</v>
      </c>
      <c r="L42" s="9"/>
    </row>
    <row r="43" spans="2:12" ht="120.75" thickBot="1">
      <c r="B43" s="838"/>
      <c r="C43" s="222"/>
      <c r="D43" s="275" t="str">
        <f t="shared" si="5"/>
        <v>4.4.1.1. Realizar acciones tendientes a actualizar la situación de concentración de contaminantes criterio en la calidad del aire del Departamento del Atlántico</v>
      </c>
      <c r="E43" s="275" t="str">
        <f t="shared" si="5"/>
        <v xml:space="preserve">Colocar en funcionamiento y realizar mantenimiento en cada una de las estaciones de calidad del aire de la Corporación, con el fin de realizar reportes actualizado para el Sistema de Vigilancia de la Calidad del Aire aplicando el Protocolo para el Monitoreo y Seguimiento </v>
      </c>
      <c r="F43" s="279">
        <v>340000000</v>
      </c>
      <c r="G43" s="280">
        <v>340000000</v>
      </c>
      <c r="H43" s="281">
        <v>0</v>
      </c>
      <c r="I43" s="280"/>
      <c r="J43" s="105">
        <f t="shared" ref="J43:J53" si="6">+H43/G43</f>
        <v>0</v>
      </c>
      <c r="K43" s="105" t="e">
        <f t="shared" ref="K43:K53" si="7">+I43/H43</f>
        <v>#DIV/0!</v>
      </c>
      <c r="L43" s="9"/>
    </row>
    <row r="44" spans="2:12" ht="108.75" thickBot="1">
      <c r="B44" s="838"/>
      <c r="C44" s="222"/>
      <c r="D44" s="275" t="str">
        <f t="shared" si="5"/>
        <v>4.4.1.2. Realizar un rediseño del sistema de vigilancia de la calidad del aire en el Departamento del Atlántico.</v>
      </c>
      <c r="E44" s="275" t="str">
        <f t="shared" si="5"/>
        <v>Realizar un (1) rediseño del Sistema de Vigilancia de Calidad del Aire aplicando el Protocolo para el Monitoreo y Seguimiento, que incluya la ubicación de dos nuevas estaciones de calidad en los municipios de Galapa y Soledad</v>
      </c>
      <c r="F44" s="279"/>
      <c r="G44" s="280"/>
      <c r="H44" s="281"/>
      <c r="I44" s="280"/>
      <c r="J44" s="105" t="e">
        <f t="shared" si="6"/>
        <v>#DIV/0!</v>
      </c>
      <c r="K44" s="105" t="e">
        <f t="shared" si="7"/>
        <v>#DIV/0!</v>
      </c>
      <c r="L44" s="9"/>
    </row>
    <row r="45" spans="2:12" ht="48.75" thickBot="1">
      <c r="B45" s="838"/>
      <c r="C45" s="222"/>
      <c r="D45" s="121" t="str">
        <f t="shared" si="5"/>
        <v>4.4.1.5. Realizar evaluación, seguimiento y control ambiental de las emisiones atmosféricas en el Departamento.</v>
      </c>
      <c r="E45" s="275" t="str">
        <f t="shared" si="5"/>
        <v>Realizar la Evaluación, Seguimiento y Control Ambiental de las Emisiones Atmosféricas</v>
      </c>
      <c r="F45" s="279">
        <v>100000000</v>
      </c>
      <c r="G45" s="280">
        <v>100000000</v>
      </c>
      <c r="H45" s="281">
        <v>99050000</v>
      </c>
      <c r="I45" s="280"/>
      <c r="J45" s="105">
        <f t="shared" si="6"/>
        <v>0.99050000000000005</v>
      </c>
      <c r="K45" s="105">
        <f t="shared" si="7"/>
        <v>0</v>
      </c>
      <c r="L45" s="9"/>
    </row>
    <row r="46" spans="2:12" ht="60.75" thickBot="1">
      <c r="B46" s="838"/>
      <c r="C46" s="222"/>
      <c r="D46" s="275" t="str">
        <f t="shared" si="5"/>
        <v>4.4.1.6. Estimar las emisiones de Gases de Efecto Invernadero (GEI) sectorial en el Departamento del Atlántico.</v>
      </c>
      <c r="E46" s="275" t="str">
        <f t="shared" si="5"/>
        <v>Elaborar Un (1) estudio de estimación sectorial de las emisiones de Gases de Efecto Invernadero (GEI) en el Departamento del Atlántico</v>
      </c>
      <c r="F46" s="279"/>
      <c r="G46" s="280"/>
      <c r="H46" s="281"/>
      <c r="I46" s="280"/>
      <c r="J46" s="105" t="e">
        <f t="shared" si="6"/>
        <v>#DIV/0!</v>
      </c>
      <c r="K46" s="105" t="e">
        <f t="shared" si="7"/>
        <v>#DIV/0!</v>
      </c>
      <c r="L46" s="9"/>
    </row>
    <row r="47" spans="2:12" ht="60.75" thickBot="1">
      <c r="B47" s="838"/>
      <c r="C47" s="222"/>
      <c r="D47" s="275" t="str">
        <f t="shared" si="5"/>
        <v xml:space="preserve">4.4.2.1. Controlar las actividades productoras de olores ofensivos en el Departamento </v>
      </c>
      <c r="E47" s="275" t="str">
        <f t="shared" si="5"/>
        <v>Realizar operativos, de Gestión ambiental de las actividades generadoras de olores ofensivos en el departamento del Atlántico</v>
      </c>
      <c r="F47" s="279">
        <v>20000000</v>
      </c>
      <c r="G47" s="280">
        <v>20000000</v>
      </c>
      <c r="H47" s="281">
        <v>10500000</v>
      </c>
      <c r="I47" s="280"/>
      <c r="J47" s="105">
        <f t="shared" si="6"/>
        <v>0.52500000000000002</v>
      </c>
      <c r="K47" s="105">
        <f t="shared" si="7"/>
        <v>0</v>
      </c>
      <c r="L47" s="9"/>
    </row>
    <row r="48" spans="2:12" ht="84.75" thickBot="1">
      <c r="B48" s="838"/>
      <c r="C48" s="222"/>
      <c r="D48" s="275" t="str">
        <f t="shared" si="5"/>
        <v>4.4.3.1. Actualizar  los mapas de ruido diurno y nocturno en los municipios con más de 100.000 habitantes del Departamento</v>
      </c>
      <c r="E48" s="275" t="str">
        <f t="shared" si="5"/>
        <v>Actualizar mapas de ruido ambiental diurno y nocturno en los términos establecidos en al articulo 22 de la Resolución 627 de 2006, inlcuyendo su respectivo plan de descontaminación</v>
      </c>
      <c r="F48" s="279"/>
      <c r="G48" s="280"/>
      <c r="H48" s="281"/>
      <c r="I48" s="280"/>
      <c r="J48" s="105" t="e">
        <f t="shared" si="6"/>
        <v>#DIV/0!</v>
      </c>
      <c r="K48" s="105" t="e">
        <f t="shared" si="7"/>
        <v>#DIV/0!</v>
      </c>
      <c r="L48" s="9"/>
    </row>
    <row r="49" spans="2:12" s="241" customFormat="1" ht="72.75" thickBot="1">
      <c r="B49" s="838"/>
      <c r="C49" s="222"/>
      <c r="D49" s="275" t="str">
        <f t="shared" si="5"/>
        <v>4.4.3.3. Proporcionar apoyo técnico a los municipios del Departamento del Atlántico en las mediciones de emisión de ruido</v>
      </c>
      <c r="E49" s="275" t="str">
        <f t="shared" si="5"/>
        <v>operativos con pruebas de sonometría en los municipios del departamento en atención a las denuncias interpuestas y en apoyo a los entes territoriales.</v>
      </c>
      <c r="F49" s="279">
        <v>20000000</v>
      </c>
      <c r="G49" s="280">
        <v>20000000</v>
      </c>
      <c r="H49" s="281">
        <v>0</v>
      </c>
      <c r="I49" s="280"/>
      <c r="J49" s="105">
        <f t="shared" ref="J49" si="8">+H49/G49</f>
        <v>0</v>
      </c>
      <c r="K49" s="105" t="e">
        <f t="shared" ref="K49" si="9">+I49/H49</f>
        <v>#DIV/0!</v>
      </c>
      <c r="L49" s="9"/>
    </row>
    <row r="50" spans="2:12" s="241" customFormat="1" ht="72.75" thickBot="1">
      <c r="B50" s="838"/>
      <c r="C50" s="222"/>
      <c r="D50" s="275" t="str">
        <f t="shared" si="5"/>
        <v>4.4.4.2. Realizar seguimiento a la  implementación del PGIRS  municipios de la jurisdicción de la CRA.</v>
      </c>
      <c r="E50" s="275" t="str">
        <f t="shared" si="5"/>
        <v>Realizar seguimiento en la Implementación del PGIRS en los municipios de la jurisdicción de la CRA con seguimiento a las metas de aprovechamiento.</v>
      </c>
      <c r="F50" s="279">
        <v>40000000</v>
      </c>
      <c r="G50" s="280">
        <v>40000000</v>
      </c>
      <c r="H50" s="281">
        <v>40000000</v>
      </c>
      <c r="I50" s="280"/>
      <c r="J50" s="105">
        <f t="shared" ref="J50" si="10">+H50/G50</f>
        <v>1</v>
      </c>
      <c r="K50" s="105">
        <f t="shared" ref="K50" si="11">+I50/H50</f>
        <v>0</v>
      </c>
      <c r="L50" s="9"/>
    </row>
    <row r="51" spans="2:12" s="241" customFormat="1" ht="24.75" thickBot="1">
      <c r="B51" s="838"/>
      <c r="C51" s="222"/>
      <c r="D51" s="121" t="str">
        <f t="shared" ref="D51:E51" si="12">+D33</f>
        <v xml:space="preserve">4.4.4.4. Actualizar el registro y reporte de usuarios generadores de RESPEL </v>
      </c>
      <c r="E51" s="275" t="str">
        <f t="shared" si="12"/>
        <v xml:space="preserve">Registro y reporte de usuarios RESPEL actualizado </v>
      </c>
      <c r="F51" s="279"/>
      <c r="G51" s="280"/>
      <c r="H51" s="281"/>
      <c r="I51" s="280"/>
      <c r="J51" s="105" t="e">
        <f t="shared" ref="J51:J52" si="13">+H51/G51</f>
        <v>#DIV/0!</v>
      </c>
      <c r="K51" s="105" t="e">
        <f t="shared" ref="K51:K52" si="14">+I51/H51</f>
        <v>#DIV/0!</v>
      </c>
      <c r="L51" s="9"/>
    </row>
    <row r="52" spans="2:12" s="241" customFormat="1" ht="132.75" thickBot="1">
      <c r="B52" s="838"/>
      <c r="C52" s="222"/>
      <c r="D52" s="121" t="str">
        <f t="shared" ref="D52:E52" si="15">+D34</f>
        <v>4.4.4.5. Crear una Agenda Departamental de  Economía Circular: materiales industriales y productos de uso masivo (RAEE, RESPEL, llantas usadas), Materiales de envases y empaques; Flujos de Biomasa, Flujos de Agua, Fuentes y flujos de energía, materiales de construcción.</v>
      </c>
      <c r="E52" s="275" t="str">
        <f t="shared" si="15"/>
        <v xml:space="preserve">Elaborar Agenda Departamental en temas de Economía Circular:  materiales industriales y productos de uso masivo (RAEE, RESPEL, llantas usadas), Materiales de envases y empaques; Flujos de Biomasa, Flujos de Agua, Fuentes y flujos de energía, materiales de construcción. </v>
      </c>
      <c r="F52" s="279"/>
      <c r="G52" s="280"/>
      <c r="H52" s="281"/>
      <c r="I52" s="280"/>
      <c r="J52" s="105" t="e">
        <f t="shared" si="13"/>
        <v>#DIV/0!</v>
      </c>
      <c r="K52" s="105" t="e">
        <f t="shared" si="14"/>
        <v>#DIV/0!</v>
      </c>
      <c r="L52" s="9"/>
    </row>
    <row r="53" spans="2:12" ht="15.75" thickBot="1">
      <c r="B53" s="838"/>
      <c r="C53" s="73"/>
      <c r="D53" s="1"/>
      <c r="E53" s="36" t="s">
        <v>1604</v>
      </c>
      <c r="F53" s="1"/>
      <c r="G53" s="97">
        <f>SUM(G42:G52)</f>
        <v>520000000</v>
      </c>
      <c r="H53" s="97">
        <f>SUM(H42:H52)</f>
        <v>149550000</v>
      </c>
      <c r="I53" s="97">
        <f>SUM(I42:I52)</f>
        <v>0</v>
      </c>
      <c r="J53" s="105">
        <f t="shared" si="6"/>
        <v>0.28759615384615383</v>
      </c>
      <c r="K53" s="105">
        <f t="shared" si="7"/>
        <v>0</v>
      </c>
      <c r="L53" s="87"/>
    </row>
    <row r="54" spans="2:12" ht="15.75" thickBot="1">
      <c r="B54" s="839"/>
      <c r="C54" s="69"/>
      <c r="D54" s="1044" t="s">
        <v>2190</v>
      </c>
      <c r="E54" s="1045"/>
      <c r="F54" s="1045"/>
      <c r="G54" s="1045"/>
      <c r="H54" s="1045"/>
      <c r="I54" s="1045"/>
      <c r="J54" s="1045"/>
      <c r="K54" s="1045"/>
      <c r="L54" s="1148"/>
    </row>
    <row r="55" spans="2:12" ht="15.75" thickBot="1">
      <c r="B55" s="31"/>
      <c r="C55" s="64"/>
      <c r="D55" s="4"/>
      <c r="E55" s="4"/>
      <c r="F55" s="4"/>
      <c r="G55" s="4"/>
      <c r="H55" s="4"/>
      <c r="I55" s="4"/>
      <c r="J55" s="4"/>
      <c r="K55" s="4"/>
      <c r="L55" s="241"/>
    </row>
    <row r="56" spans="2:12" ht="72.75" thickBot="1">
      <c r="B56" s="40" t="s">
        <v>1504</v>
      </c>
      <c r="C56" s="878"/>
      <c r="D56" s="842" t="s">
        <v>2341</v>
      </c>
      <c r="E56" s="4"/>
      <c r="F56" s="4"/>
      <c r="G56" s="4"/>
      <c r="H56" s="4"/>
      <c r="I56" s="4"/>
      <c r="J56" s="4"/>
      <c r="K56" s="4"/>
      <c r="L56" s="241"/>
    </row>
    <row r="57" spans="2:12" ht="60.75" thickBot="1">
      <c r="B57" s="40" t="s">
        <v>1506</v>
      </c>
      <c r="C57" s="158"/>
      <c r="D57" s="40" t="s">
        <v>1831</v>
      </c>
      <c r="E57" s="4"/>
      <c r="F57" s="4"/>
      <c r="G57" s="4"/>
      <c r="H57" s="4"/>
      <c r="I57" s="4"/>
      <c r="J57" s="4"/>
      <c r="K57" s="4"/>
      <c r="L57" s="241"/>
    </row>
    <row r="58" spans="2:12" ht="15.75" thickBot="1">
      <c r="B58" s="1"/>
      <c r="C58" s="55"/>
      <c r="D58" s="4"/>
      <c r="E58" s="4"/>
      <c r="F58" s="4"/>
      <c r="G58" s="4"/>
      <c r="H58" s="4"/>
      <c r="I58" s="4"/>
      <c r="J58" s="4"/>
      <c r="K58" s="4"/>
      <c r="L58" s="241"/>
    </row>
    <row r="59" spans="2:12" ht="24" customHeight="1" thickBot="1">
      <c r="B59" s="1029" t="s">
        <v>1508</v>
      </c>
      <c r="C59" s="1030"/>
      <c r="D59" s="1030"/>
      <c r="E59" s="1031"/>
      <c r="F59" s="4"/>
      <c r="G59" s="4"/>
      <c r="H59" s="4"/>
      <c r="I59" s="4"/>
      <c r="J59" s="4"/>
      <c r="K59" s="4"/>
      <c r="L59" s="241"/>
    </row>
    <row r="60" spans="2:12" ht="15.75" thickBot="1">
      <c r="B60" s="1032">
        <v>1</v>
      </c>
      <c r="C60" s="890"/>
      <c r="D60" s="37" t="s">
        <v>1509</v>
      </c>
      <c r="E60" s="25" t="s">
        <v>1510</v>
      </c>
      <c r="F60" s="4"/>
      <c r="G60" s="4"/>
      <c r="H60" s="4"/>
      <c r="I60" s="4"/>
      <c r="J60" s="4"/>
      <c r="K60" s="4"/>
      <c r="L60" s="241"/>
    </row>
    <row r="61" spans="2:12" ht="24.75" thickBot="1">
      <c r="B61" s="1033"/>
      <c r="C61" s="890"/>
      <c r="D61" s="845" t="s">
        <v>10</v>
      </c>
      <c r="E61" s="24" t="s">
        <v>1643</v>
      </c>
      <c r="F61" s="4"/>
      <c r="G61" s="4"/>
      <c r="H61" s="4"/>
      <c r="I61" s="4"/>
      <c r="J61" s="4"/>
      <c r="K61" s="4"/>
      <c r="L61" s="241"/>
    </row>
    <row r="62" spans="2:12" ht="15.75" thickBot="1">
      <c r="B62" s="1033"/>
      <c r="C62" s="890"/>
      <c r="D62" s="845" t="s">
        <v>1512</v>
      </c>
      <c r="E62" s="24" t="s">
        <v>1691</v>
      </c>
      <c r="F62" s="4"/>
      <c r="G62" s="4"/>
      <c r="H62" s="4"/>
      <c r="I62" s="4"/>
      <c r="J62" s="4"/>
      <c r="K62" s="4"/>
      <c r="L62" s="241"/>
    </row>
    <row r="63" spans="2:12" ht="15.75" thickBot="1">
      <c r="B63" s="1033"/>
      <c r="C63" s="890"/>
      <c r="D63" s="845" t="s">
        <v>13</v>
      </c>
      <c r="E63" s="24" t="s">
        <v>1514</v>
      </c>
      <c r="F63" s="4"/>
      <c r="G63" s="4"/>
      <c r="H63" s="4"/>
      <c r="I63" s="4"/>
      <c r="J63" s="4"/>
      <c r="K63" s="4"/>
      <c r="L63" s="241"/>
    </row>
    <row r="64" spans="2:12" ht="30.75" thickBot="1">
      <c r="B64" s="1033"/>
      <c r="C64" s="890"/>
      <c r="D64" s="845" t="s">
        <v>16</v>
      </c>
      <c r="E64" s="704" t="s">
        <v>1646</v>
      </c>
      <c r="F64" s="4"/>
      <c r="G64" s="4"/>
      <c r="H64" s="4"/>
      <c r="I64" s="4"/>
      <c r="J64" s="4"/>
      <c r="K64" s="4"/>
      <c r="L64" s="241"/>
    </row>
    <row r="65" spans="2:11" ht="15.75" thickBot="1">
      <c r="B65" s="1033"/>
      <c r="C65" s="890"/>
      <c r="D65" s="845" t="s">
        <v>19</v>
      </c>
      <c r="E65" s="24" t="s">
        <v>1647</v>
      </c>
      <c r="F65" s="4"/>
      <c r="G65" s="4"/>
      <c r="H65" s="4"/>
      <c r="I65" s="4"/>
      <c r="J65" s="4"/>
      <c r="K65" s="4"/>
    </row>
    <row r="66" spans="2:11" ht="15.75" thickBot="1">
      <c r="B66" s="1034"/>
      <c r="C66" s="857"/>
      <c r="D66" s="845" t="s">
        <v>1516</v>
      </c>
      <c r="E66" s="24" t="s">
        <v>1517</v>
      </c>
      <c r="F66" s="4"/>
      <c r="G66" s="4"/>
      <c r="H66" s="4"/>
      <c r="I66" s="4"/>
      <c r="J66" s="4"/>
      <c r="K66" s="4"/>
    </row>
    <row r="67" spans="2:11" ht="15.75" thickBot="1">
      <c r="B67" s="1"/>
      <c r="C67" s="55"/>
      <c r="D67" s="4"/>
      <c r="E67" s="4"/>
      <c r="F67" s="4"/>
      <c r="G67" s="4"/>
      <c r="H67" s="4"/>
      <c r="I67" s="4"/>
      <c r="J67" s="4"/>
      <c r="K67" s="4"/>
    </row>
    <row r="68" spans="2:11" ht="15.75" thickBot="1">
      <c r="B68" s="1029" t="s">
        <v>1518</v>
      </c>
      <c r="C68" s="1030"/>
      <c r="D68" s="1030"/>
      <c r="E68" s="1031"/>
      <c r="F68" s="4"/>
      <c r="G68" s="4"/>
      <c r="H68" s="4"/>
      <c r="I68" s="4"/>
      <c r="J68" s="4"/>
      <c r="K68" s="4"/>
    </row>
    <row r="69" spans="2:11" ht="15.75" thickBot="1">
      <c r="B69" s="1032">
        <v>1</v>
      </c>
      <c r="C69" s="890"/>
      <c r="D69" s="37" t="s">
        <v>1509</v>
      </c>
      <c r="E69" s="870" t="s">
        <v>1519</v>
      </c>
      <c r="F69" s="4"/>
      <c r="G69" s="4"/>
      <c r="H69" s="4"/>
      <c r="I69" s="4"/>
      <c r="J69" s="4"/>
      <c r="K69" s="4"/>
    </row>
    <row r="70" spans="2:11" ht="15.75" thickBot="1">
      <c r="B70" s="1033"/>
      <c r="C70" s="890"/>
      <c r="D70" s="845" t="s">
        <v>10</v>
      </c>
      <c r="E70" s="128" t="s">
        <v>1616</v>
      </c>
      <c r="F70" s="4"/>
      <c r="G70" s="4"/>
      <c r="H70" s="4"/>
      <c r="I70" s="4"/>
      <c r="J70" s="4"/>
      <c r="K70" s="4"/>
    </row>
    <row r="71" spans="2:11" ht="15.75" thickBot="1">
      <c r="B71" s="1033"/>
      <c r="C71" s="890"/>
      <c r="D71" s="845" t="s">
        <v>1512</v>
      </c>
      <c r="E71" s="129"/>
      <c r="F71" s="4"/>
      <c r="G71" s="4"/>
      <c r="H71" s="4"/>
      <c r="I71" s="4"/>
      <c r="J71" s="4"/>
      <c r="K71" s="4"/>
    </row>
    <row r="72" spans="2:11" ht="15.75" thickBot="1">
      <c r="B72" s="1033"/>
      <c r="C72" s="890"/>
      <c r="D72" s="845" t="s">
        <v>13</v>
      </c>
      <c r="E72" s="129"/>
      <c r="F72" s="4"/>
      <c r="G72" s="4"/>
      <c r="H72" s="4"/>
      <c r="I72" s="4"/>
      <c r="J72" s="4"/>
      <c r="K72" s="4"/>
    </row>
    <row r="73" spans="2:11" ht="15.75" thickBot="1">
      <c r="B73" s="1033"/>
      <c r="C73" s="890"/>
      <c r="D73" s="845" t="s">
        <v>16</v>
      </c>
      <c r="E73" s="129"/>
      <c r="F73" s="4"/>
      <c r="G73" s="4"/>
      <c r="H73" s="4"/>
      <c r="I73" s="4"/>
      <c r="J73" s="4"/>
      <c r="K73" s="4"/>
    </row>
    <row r="74" spans="2:11" ht="15.75" thickBot="1">
      <c r="B74" s="1033"/>
      <c r="C74" s="890"/>
      <c r="D74" s="845" t="s">
        <v>19</v>
      </c>
      <c r="E74" s="129"/>
      <c r="F74" s="4"/>
      <c r="G74" s="4"/>
      <c r="H74" s="4"/>
      <c r="I74" s="4"/>
      <c r="J74" s="4"/>
      <c r="K74" s="4"/>
    </row>
    <row r="75" spans="2:11" ht="15.75" thickBot="1">
      <c r="B75" s="1034"/>
      <c r="C75" s="857"/>
      <c r="D75" s="845" t="s">
        <v>1516</v>
      </c>
      <c r="E75" s="129"/>
      <c r="F75" s="4"/>
      <c r="G75" s="4"/>
      <c r="H75" s="4"/>
      <c r="I75" s="4"/>
      <c r="J75" s="4"/>
      <c r="K75" s="4"/>
    </row>
    <row r="76" spans="2:11" ht="15.75" thickBot="1">
      <c r="B76" s="1"/>
      <c r="C76" s="55"/>
      <c r="D76" s="4"/>
      <c r="E76" s="4"/>
      <c r="F76" s="4"/>
      <c r="G76" s="4"/>
      <c r="H76" s="4"/>
      <c r="I76" s="4"/>
      <c r="J76" s="4"/>
      <c r="K76" s="4"/>
    </row>
    <row r="77" spans="2:11" ht="15" customHeight="1" thickBot="1">
      <c r="B77" s="846" t="s">
        <v>1521</v>
      </c>
      <c r="C77" s="847"/>
      <c r="D77" s="847"/>
      <c r="E77" s="848"/>
      <c r="F77" s="241"/>
      <c r="G77" s="4"/>
      <c r="H77" s="4"/>
      <c r="I77" s="4"/>
      <c r="J77" s="4"/>
      <c r="K77" s="4"/>
    </row>
    <row r="78" spans="2:11" ht="24.75" thickBot="1">
      <c r="B78" s="839" t="s">
        <v>1522</v>
      </c>
      <c r="C78" s="845" t="s">
        <v>1523</v>
      </c>
      <c r="D78" s="845" t="s">
        <v>1524</v>
      </c>
      <c r="E78" s="845" t="s">
        <v>1525</v>
      </c>
      <c r="F78" s="4"/>
      <c r="G78" s="4"/>
      <c r="H78" s="4"/>
      <c r="I78" s="4"/>
      <c r="J78" s="4"/>
      <c r="K78" s="241"/>
    </row>
    <row r="79" spans="2:11" ht="72.75" thickBot="1">
      <c r="B79" s="38">
        <v>42401</v>
      </c>
      <c r="C79" s="845">
        <v>1</v>
      </c>
      <c r="D79" s="845" t="s">
        <v>2342</v>
      </c>
      <c r="E79" s="845"/>
      <c r="F79" s="4"/>
      <c r="G79" s="4"/>
      <c r="H79" s="4"/>
      <c r="I79" s="4"/>
      <c r="J79" s="4"/>
      <c r="K79" s="241"/>
    </row>
    <row r="80" spans="2:11" ht="15.75" thickBot="1">
      <c r="B80" s="2"/>
      <c r="C80" s="70"/>
      <c r="D80" s="4"/>
      <c r="E80" s="4"/>
      <c r="F80" s="4"/>
      <c r="G80" s="4"/>
      <c r="H80" s="4"/>
      <c r="I80" s="4"/>
      <c r="J80" s="4"/>
      <c r="K80" s="4"/>
    </row>
    <row r="81" spans="2:11" ht="15.75" thickBot="1">
      <c r="B81" s="879" t="s">
        <v>1406</v>
      </c>
      <c r="C81" s="71"/>
      <c r="D81" s="4"/>
      <c r="E81" s="4"/>
      <c r="F81" s="4"/>
      <c r="G81" s="4"/>
      <c r="H81" s="4"/>
      <c r="I81" s="4"/>
      <c r="J81" s="4"/>
      <c r="K81" s="4"/>
    </row>
    <row r="82" spans="2:11">
      <c r="B82" s="1200"/>
      <c r="C82" s="1201"/>
      <c r="D82" s="1201"/>
      <c r="E82" s="1202"/>
      <c r="F82" s="4"/>
      <c r="G82" s="4"/>
      <c r="H82" s="4"/>
      <c r="I82" s="4"/>
      <c r="J82" s="4"/>
      <c r="K82" s="4"/>
    </row>
    <row r="83" spans="2:11" ht="15.75" thickBot="1">
      <c r="B83" s="1203"/>
      <c r="C83" s="1204"/>
      <c r="D83" s="1204"/>
      <c r="E83" s="1205"/>
      <c r="F83" s="4"/>
      <c r="G83" s="4"/>
      <c r="H83" s="4"/>
      <c r="I83" s="4"/>
      <c r="J83" s="4"/>
      <c r="K83" s="4"/>
    </row>
    <row r="84" spans="2:11" ht="15.75" thickBot="1">
      <c r="B84" s="4"/>
      <c r="D84" s="4"/>
      <c r="E84" s="4"/>
      <c r="F84" s="4"/>
      <c r="G84" s="4"/>
      <c r="H84" s="4"/>
      <c r="I84" s="4"/>
      <c r="J84" s="4"/>
      <c r="K84" s="4"/>
    </row>
    <row r="85" spans="2:11" ht="15.75" thickBot="1">
      <c r="B85" s="1029" t="s">
        <v>1527</v>
      </c>
      <c r="C85" s="1030"/>
      <c r="D85" s="1031"/>
      <c r="E85" s="4"/>
      <c r="F85" s="4"/>
      <c r="G85" s="4"/>
      <c r="H85" s="4"/>
      <c r="I85" s="4"/>
      <c r="J85" s="4"/>
      <c r="K85" s="4"/>
    </row>
    <row r="86" spans="2:11" ht="60.75" thickBot="1">
      <c r="B86" s="839" t="s">
        <v>1528</v>
      </c>
      <c r="C86" s="857"/>
      <c r="D86" s="845" t="s">
        <v>2343</v>
      </c>
      <c r="E86" s="4"/>
      <c r="F86" s="4"/>
      <c r="G86" s="4"/>
      <c r="H86" s="4"/>
      <c r="I86" s="4"/>
      <c r="J86" s="4"/>
      <c r="K86" s="4"/>
    </row>
    <row r="87" spans="2:11">
      <c r="B87" s="1032" t="s">
        <v>1530</v>
      </c>
      <c r="C87" s="890"/>
      <c r="D87" s="836" t="s">
        <v>1531</v>
      </c>
      <c r="E87" s="4"/>
      <c r="F87" s="4"/>
      <c r="G87" s="4"/>
      <c r="H87" s="4"/>
      <c r="I87" s="4"/>
      <c r="J87" s="4"/>
      <c r="K87" s="4"/>
    </row>
    <row r="88" spans="2:11" ht="96">
      <c r="B88" s="1033"/>
      <c r="C88" s="890"/>
      <c r="D88" s="829" t="s">
        <v>2344</v>
      </c>
      <c r="E88" s="4"/>
      <c r="F88" s="4"/>
      <c r="G88" s="4"/>
      <c r="H88" s="4"/>
      <c r="I88" s="4"/>
      <c r="J88" s="4"/>
      <c r="K88" s="4"/>
    </row>
    <row r="89" spans="2:11">
      <c r="B89" s="1033"/>
      <c r="C89" s="890"/>
      <c r="D89" s="836" t="s">
        <v>1534</v>
      </c>
      <c r="E89" s="4"/>
      <c r="F89" s="4"/>
      <c r="G89" s="4"/>
      <c r="H89" s="4"/>
      <c r="I89" s="4"/>
      <c r="J89" s="4"/>
      <c r="K89" s="4"/>
    </row>
    <row r="90" spans="2:11">
      <c r="B90" s="1033"/>
      <c r="C90" s="890"/>
      <c r="D90" s="829" t="s">
        <v>1535</v>
      </c>
      <c r="E90" s="4"/>
      <c r="F90" s="4"/>
      <c r="G90" s="4"/>
      <c r="H90" s="4"/>
      <c r="I90" s="4"/>
      <c r="J90" s="4"/>
      <c r="K90" s="4"/>
    </row>
    <row r="91" spans="2:11">
      <c r="B91" s="1033"/>
      <c r="C91" s="890"/>
      <c r="D91" s="829" t="s">
        <v>2345</v>
      </c>
      <c r="E91" s="4"/>
      <c r="F91" s="4"/>
      <c r="G91" s="4"/>
      <c r="H91" s="4"/>
      <c r="I91" s="4"/>
      <c r="J91" s="4"/>
      <c r="K91" s="4"/>
    </row>
    <row r="92" spans="2:11">
      <c r="B92" s="1033"/>
      <c r="C92" s="890"/>
      <c r="D92" s="829" t="s">
        <v>1536</v>
      </c>
      <c r="E92" s="4"/>
      <c r="F92" s="4"/>
      <c r="G92" s="4"/>
      <c r="H92" s="4"/>
      <c r="I92" s="4"/>
      <c r="J92" s="4"/>
      <c r="K92" s="4"/>
    </row>
    <row r="93" spans="2:11">
      <c r="B93" s="1033"/>
      <c r="C93" s="890"/>
      <c r="D93" s="829" t="s">
        <v>2346</v>
      </c>
      <c r="E93" s="4"/>
      <c r="F93" s="4"/>
      <c r="G93" s="4"/>
      <c r="H93" s="4"/>
      <c r="I93" s="4"/>
      <c r="J93" s="4"/>
      <c r="K93" s="4"/>
    </row>
    <row r="94" spans="2:11" ht="24">
      <c r="B94" s="1033"/>
      <c r="C94" s="890"/>
      <c r="D94" s="829" t="s">
        <v>2347</v>
      </c>
      <c r="E94" s="4"/>
      <c r="F94" s="4"/>
      <c r="G94" s="4"/>
      <c r="H94" s="4"/>
      <c r="I94" s="4"/>
      <c r="J94" s="4"/>
      <c r="K94" s="4"/>
    </row>
    <row r="95" spans="2:11">
      <c r="B95" s="1033"/>
      <c r="C95" s="890"/>
      <c r="D95" s="836" t="s">
        <v>1797</v>
      </c>
      <c r="E95" s="4"/>
      <c r="F95" s="4"/>
      <c r="G95" s="4"/>
      <c r="H95" s="4"/>
      <c r="I95" s="4"/>
      <c r="J95" s="4"/>
      <c r="K95" s="4"/>
    </row>
    <row r="96" spans="2:11">
      <c r="B96" s="1033"/>
      <c r="C96" s="890"/>
      <c r="D96" s="829" t="s">
        <v>1906</v>
      </c>
      <c r="E96" s="4"/>
      <c r="F96" s="4"/>
      <c r="G96" s="4"/>
      <c r="H96" s="4"/>
      <c r="I96" s="4"/>
      <c r="J96" s="4"/>
      <c r="K96" s="4"/>
    </row>
    <row r="97" spans="2:11">
      <c r="B97" s="1033"/>
      <c r="C97" s="890"/>
      <c r="D97" s="829" t="s">
        <v>2348</v>
      </c>
      <c r="E97" s="4"/>
      <c r="F97" s="4"/>
      <c r="G97" s="4"/>
      <c r="H97" s="4"/>
      <c r="I97" s="4"/>
      <c r="J97" s="4"/>
      <c r="K97" s="4"/>
    </row>
    <row r="98" spans="2:11" ht="24">
      <c r="B98" s="1033"/>
      <c r="C98" s="890"/>
      <c r="D98" s="829" t="s">
        <v>2349</v>
      </c>
      <c r="E98" s="4"/>
      <c r="F98" s="4"/>
      <c r="G98" s="4"/>
      <c r="H98" s="4"/>
      <c r="I98" s="4"/>
      <c r="J98" s="4"/>
      <c r="K98" s="4"/>
    </row>
    <row r="99" spans="2:11" ht="24">
      <c r="B99" s="1033"/>
      <c r="C99" s="890"/>
      <c r="D99" s="829" t="s">
        <v>2350</v>
      </c>
      <c r="E99" s="4"/>
      <c r="F99" s="4"/>
      <c r="G99" s="4"/>
      <c r="H99" s="4"/>
      <c r="I99" s="4"/>
      <c r="J99" s="4"/>
      <c r="K99" s="4"/>
    </row>
    <row r="100" spans="2:11" ht="36">
      <c r="B100" s="1033"/>
      <c r="C100" s="890"/>
      <c r="D100" s="829" t="s">
        <v>2351</v>
      </c>
      <c r="E100" s="4"/>
      <c r="F100" s="4"/>
      <c r="G100" s="4"/>
      <c r="H100" s="4"/>
      <c r="I100" s="4"/>
      <c r="J100" s="4"/>
      <c r="K100" s="4"/>
    </row>
    <row r="101" spans="2:11">
      <c r="B101" s="1033"/>
      <c r="C101" s="890"/>
      <c r="D101" s="829" t="s">
        <v>2352</v>
      </c>
      <c r="E101" s="4"/>
      <c r="F101" s="4"/>
      <c r="G101" s="4"/>
      <c r="H101" s="4"/>
      <c r="I101" s="4"/>
      <c r="J101" s="4"/>
      <c r="K101" s="4"/>
    </row>
    <row r="102" spans="2:11">
      <c r="B102" s="1033"/>
      <c r="C102" s="890"/>
      <c r="D102" s="829" t="s">
        <v>2353</v>
      </c>
      <c r="E102" s="4"/>
      <c r="F102" s="4"/>
      <c r="G102" s="4"/>
      <c r="H102" s="4"/>
      <c r="I102" s="4"/>
      <c r="J102" s="4"/>
      <c r="K102" s="4"/>
    </row>
    <row r="103" spans="2:11" ht="15.75" thickBot="1">
      <c r="B103" s="1034"/>
      <c r="C103" s="857"/>
      <c r="D103" s="845" t="s">
        <v>2354</v>
      </c>
      <c r="E103" s="4"/>
      <c r="F103" s="4"/>
      <c r="G103" s="4"/>
      <c r="H103" s="4"/>
      <c r="I103" s="4"/>
      <c r="J103" s="4"/>
      <c r="K103" s="4"/>
    </row>
    <row r="104" spans="2:11" ht="24.75" thickBot="1">
      <c r="B104" s="839" t="s">
        <v>1543</v>
      </c>
      <c r="C104" s="857"/>
      <c r="D104" s="845"/>
      <c r="E104" s="4"/>
      <c r="F104" s="4"/>
      <c r="G104" s="4"/>
      <c r="H104" s="4"/>
      <c r="I104" s="4"/>
      <c r="J104" s="4"/>
      <c r="K104" s="4"/>
    </row>
    <row r="105" spans="2:11" ht="252">
      <c r="B105" s="1032" t="s">
        <v>1544</v>
      </c>
      <c r="C105" s="890"/>
      <c r="D105" s="829" t="s">
        <v>2355</v>
      </c>
      <c r="E105" s="4"/>
      <c r="F105" s="4"/>
      <c r="G105" s="4"/>
      <c r="H105" s="4"/>
      <c r="I105" s="4"/>
      <c r="J105" s="4"/>
      <c r="K105" s="4"/>
    </row>
    <row r="106" spans="2:11" ht="24">
      <c r="B106" s="1033"/>
      <c r="C106" s="890"/>
      <c r="D106" s="829" t="s">
        <v>2356</v>
      </c>
      <c r="E106" s="4"/>
      <c r="F106" s="4"/>
      <c r="G106" s="4"/>
      <c r="H106" s="4"/>
      <c r="I106" s="4"/>
      <c r="J106" s="4"/>
      <c r="K106" s="4"/>
    </row>
    <row r="107" spans="2:11" ht="108">
      <c r="B107" s="1033"/>
      <c r="C107" s="890"/>
      <c r="D107" s="829" t="s">
        <v>2357</v>
      </c>
      <c r="E107" s="4"/>
      <c r="F107" s="4"/>
      <c r="G107" s="4"/>
      <c r="H107" s="4"/>
      <c r="I107" s="4"/>
      <c r="J107" s="4"/>
      <c r="K107" s="4"/>
    </row>
    <row r="108" spans="2:11" ht="384">
      <c r="B108" s="1033"/>
      <c r="C108" s="890"/>
      <c r="D108" s="829" t="s">
        <v>2358</v>
      </c>
      <c r="E108" s="4"/>
      <c r="F108" s="4"/>
      <c r="G108" s="4"/>
      <c r="H108" s="4"/>
      <c r="I108" s="4"/>
      <c r="J108" s="4"/>
      <c r="K108" s="4"/>
    </row>
    <row r="109" spans="2:11" ht="192">
      <c r="B109" s="1033"/>
      <c r="C109" s="890"/>
      <c r="D109" s="829" t="s">
        <v>2359</v>
      </c>
      <c r="E109" s="4"/>
      <c r="F109" s="4"/>
      <c r="G109" s="4"/>
      <c r="H109" s="4"/>
      <c r="I109" s="4"/>
      <c r="J109" s="4"/>
      <c r="K109" s="4"/>
    </row>
    <row r="110" spans="2:11" ht="72">
      <c r="B110" s="1033"/>
      <c r="C110" s="890"/>
      <c r="D110" s="829" t="s">
        <v>2360</v>
      </c>
      <c r="E110" s="4"/>
      <c r="F110" s="4"/>
      <c r="G110" s="4"/>
      <c r="H110" s="4"/>
      <c r="I110" s="4"/>
      <c r="J110" s="4"/>
      <c r="K110" s="4"/>
    </row>
    <row r="111" spans="2:11" ht="24">
      <c r="B111" s="1033"/>
      <c r="C111" s="890"/>
      <c r="D111" s="829" t="s">
        <v>2361</v>
      </c>
      <c r="E111" s="4"/>
      <c r="F111" s="4"/>
      <c r="G111" s="4"/>
      <c r="H111" s="4"/>
      <c r="I111" s="4"/>
      <c r="J111" s="4"/>
      <c r="K111" s="4"/>
    </row>
    <row r="112" spans="2:11" ht="24">
      <c r="B112" s="1033"/>
      <c r="C112" s="890"/>
      <c r="D112" s="829" t="s">
        <v>2362</v>
      </c>
      <c r="E112" s="4"/>
      <c r="F112" s="4"/>
      <c r="G112" s="4"/>
      <c r="H112" s="4"/>
      <c r="I112" s="4"/>
      <c r="J112" s="4"/>
      <c r="K112" s="4"/>
    </row>
    <row r="113" spans="2:11" ht="24">
      <c r="B113" s="1033"/>
      <c r="C113" s="890"/>
      <c r="D113" s="829" t="s">
        <v>2363</v>
      </c>
      <c r="E113" s="4"/>
      <c r="F113" s="4"/>
      <c r="G113" s="4"/>
      <c r="H113" s="4"/>
      <c r="I113" s="4"/>
      <c r="J113" s="4"/>
      <c r="K113" s="4"/>
    </row>
    <row r="114" spans="2:11" ht="84">
      <c r="B114" s="1033"/>
      <c r="C114" s="890"/>
      <c r="D114" s="829" t="s">
        <v>2364</v>
      </c>
      <c r="E114" s="4"/>
      <c r="F114" s="4"/>
      <c r="G114" s="4"/>
      <c r="H114" s="4"/>
      <c r="I114" s="4"/>
      <c r="J114" s="4"/>
      <c r="K114" s="4"/>
    </row>
    <row r="115" spans="2:11" ht="24">
      <c r="B115" s="1033"/>
      <c r="C115" s="890"/>
      <c r="D115" s="829" t="s">
        <v>2365</v>
      </c>
      <c r="E115" s="4"/>
      <c r="F115" s="4"/>
      <c r="G115" s="4"/>
      <c r="H115" s="4"/>
      <c r="I115" s="4"/>
      <c r="J115" s="4"/>
      <c r="K115" s="4"/>
    </row>
    <row r="116" spans="2:11" ht="24">
      <c r="B116" s="1033"/>
      <c r="C116" s="890"/>
      <c r="D116" s="829" t="s">
        <v>2366</v>
      </c>
      <c r="E116" s="4"/>
      <c r="F116" s="4"/>
      <c r="G116" s="4"/>
      <c r="H116" s="4"/>
      <c r="I116" s="4"/>
      <c r="J116" s="4"/>
      <c r="K116" s="4"/>
    </row>
    <row r="117" spans="2:11">
      <c r="B117" s="1033"/>
      <c r="C117" s="890"/>
      <c r="D117" s="829" t="s">
        <v>2367</v>
      </c>
      <c r="E117" s="4"/>
      <c r="F117" s="4"/>
      <c r="G117" s="4"/>
      <c r="H117" s="4"/>
      <c r="I117" s="4"/>
      <c r="J117" s="4"/>
      <c r="K117" s="4"/>
    </row>
    <row r="118" spans="2:11" ht="24">
      <c r="B118" s="1033"/>
      <c r="C118" s="890"/>
      <c r="D118" s="829" t="s">
        <v>2368</v>
      </c>
      <c r="E118" s="4"/>
      <c r="F118" s="4"/>
      <c r="G118" s="4"/>
      <c r="H118" s="4"/>
      <c r="I118" s="4"/>
      <c r="J118" s="4"/>
      <c r="K118" s="4"/>
    </row>
    <row r="119" spans="2:11" ht="36">
      <c r="B119" s="1033"/>
      <c r="C119" s="890"/>
      <c r="D119" s="829" t="s">
        <v>2369</v>
      </c>
      <c r="E119" s="4"/>
      <c r="F119" s="4"/>
      <c r="G119" s="4"/>
      <c r="H119" s="4"/>
      <c r="I119" s="4"/>
      <c r="J119" s="4"/>
      <c r="K119" s="4"/>
    </row>
    <row r="120" spans="2:11" ht="24">
      <c r="B120" s="1033"/>
      <c r="C120" s="890"/>
      <c r="D120" s="829" t="s">
        <v>2370</v>
      </c>
      <c r="E120" s="4"/>
      <c r="F120" s="4"/>
      <c r="G120" s="4"/>
      <c r="H120" s="4"/>
      <c r="I120" s="4"/>
      <c r="J120" s="4"/>
      <c r="K120" s="4"/>
    </row>
    <row r="121" spans="2:11" ht="24">
      <c r="B121" s="1033"/>
      <c r="C121" s="890"/>
      <c r="D121" s="829" t="s">
        <v>2371</v>
      </c>
      <c r="E121" s="4"/>
      <c r="F121" s="4"/>
      <c r="G121" s="4"/>
      <c r="H121" s="4"/>
      <c r="I121" s="4"/>
      <c r="J121" s="4"/>
      <c r="K121" s="4"/>
    </row>
    <row r="122" spans="2:11" ht="72">
      <c r="B122" s="1033"/>
      <c r="C122" s="890"/>
      <c r="D122" s="829" t="s">
        <v>2372</v>
      </c>
      <c r="E122" s="4"/>
      <c r="F122" s="4"/>
      <c r="G122" s="4"/>
      <c r="H122" s="4"/>
      <c r="I122" s="4"/>
      <c r="J122" s="4"/>
      <c r="K122" s="4"/>
    </row>
    <row r="123" spans="2:11" ht="48">
      <c r="B123" s="1033"/>
      <c r="C123" s="890"/>
      <c r="D123" s="829" t="s">
        <v>2373</v>
      </c>
      <c r="E123" s="4"/>
      <c r="F123" s="4"/>
      <c r="G123" s="4"/>
      <c r="H123" s="4"/>
      <c r="I123" s="4"/>
      <c r="J123" s="4"/>
      <c r="K123" s="4"/>
    </row>
    <row r="124" spans="2:11" ht="48">
      <c r="B124" s="1033"/>
      <c r="C124" s="890"/>
      <c r="D124" s="829" t="s">
        <v>2374</v>
      </c>
      <c r="E124" s="4"/>
      <c r="F124" s="4"/>
      <c r="G124" s="4"/>
      <c r="H124" s="4"/>
      <c r="I124" s="4"/>
      <c r="J124" s="4"/>
      <c r="K124" s="4"/>
    </row>
    <row r="125" spans="2:11" ht="36">
      <c r="B125" s="1033"/>
      <c r="C125" s="890"/>
      <c r="D125" s="829" t="s">
        <v>2375</v>
      </c>
      <c r="E125" s="4"/>
      <c r="F125" s="4"/>
      <c r="G125" s="4"/>
      <c r="H125" s="4"/>
      <c r="I125" s="4"/>
      <c r="J125" s="4"/>
      <c r="K125" s="4"/>
    </row>
    <row r="126" spans="2:11" ht="24">
      <c r="B126" s="1033"/>
      <c r="C126" s="890"/>
      <c r="D126" s="829" t="s">
        <v>2376</v>
      </c>
      <c r="E126" s="4"/>
      <c r="F126" s="4"/>
      <c r="G126" s="4"/>
      <c r="H126" s="4"/>
      <c r="I126" s="4"/>
      <c r="J126" s="4"/>
      <c r="K126" s="4"/>
    </row>
    <row r="127" spans="2:11" ht="36">
      <c r="B127" s="1033"/>
      <c r="C127" s="890"/>
      <c r="D127" s="829" t="s">
        <v>2377</v>
      </c>
      <c r="E127" s="4"/>
      <c r="F127" s="4"/>
      <c r="G127" s="4"/>
      <c r="H127" s="4"/>
      <c r="I127" s="4"/>
      <c r="J127" s="4"/>
      <c r="K127" s="4"/>
    </row>
    <row r="128" spans="2:11" ht="24">
      <c r="B128" s="1033"/>
      <c r="C128" s="890"/>
      <c r="D128" s="829" t="s">
        <v>2378</v>
      </c>
      <c r="E128" s="4"/>
      <c r="F128" s="4"/>
      <c r="G128" s="4"/>
      <c r="H128" s="4"/>
      <c r="I128" s="4"/>
      <c r="J128" s="4"/>
      <c r="K128" s="4"/>
    </row>
    <row r="129" spans="2:11" ht="36">
      <c r="B129" s="1033"/>
      <c r="C129" s="890"/>
      <c r="D129" s="829" t="s">
        <v>2379</v>
      </c>
      <c r="E129" s="4"/>
      <c r="F129" s="4"/>
      <c r="G129" s="4"/>
      <c r="H129" s="4"/>
      <c r="I129" s="4"/>
      <c r="J129" s="4"/>
      <c r="K129" s="4"/>
    </row>
    <row r="130" spans="2:11" ht="36">
      <c r="B130" s="1033"/>
      <c r="C130" s="890"/>
      <c r="D130" s="829" t="s">
        <v>2380</v>
      </c>
      <c r="E130" s="4"/>
      <c r="F130" s="4"/>
      <c r="G130" s="4"/>
      <c r="H130" s="4"/>
      <c r="I130" s="4"/>
      <c r="J130" s="4"/>
      <c r="K130" s="4"/>
    </row>
    <row r="131" spans="2:11" ht="36">
      <c r="B131" s="1033"/>
      <c r="C131" s="890"/>
      <c r="D131" s="829" t="s">
        <v>2381</v>
      </c>
      <c r="E131" s="4"/>
      <c r="F131" s="4"/>
      <c r="G131" s="4"/>
      <c r="H131" s="4"/>
      <c r="I131" s="4"/>
      <c r="J131" s="4"/>
      <c r="K131" s="4"/>
    </row>
    <row r="132" spans="2:11" ht="60">
      <c r="B132" s="1033"/>
      <c r="C132" s="890"/>
      <c r="D132" s="829" t="s">
        <v>2382</v>
      </c>
      <c r="E132" s="4"/>
      <c r="F132" s="4"/>
      <c r="G132" s="4"/>
      <c r="H132" s="4"/>
      <c r="I132" s="4"/>
      <c r="J132" s="4"/>
      <c r="K132" s="4"/>
    </row>
    <row r="133" spans="2:11" ht="48">
      <c r="B133" s="1033"/>
      <c r="C133" s="890"/>
      <c r="D133" s="829" t="s">
        <v>2383</v>
      </c>
      <c r="E133" s="4"/>
      <c r="F133" s="4"/>
      <c r="G133" s="4"/>
      <c r="H133" s="4"/>
      <c r="I133" s="4"/>
      <c r="J133" s="4"/>
      <c r="K133" s="4"/>
    </row>
    <row r="134" spans="2:11" ht="24">
      <c r="B134" s="1033"/>
      <c r="C134" s="890"/>
      <c r="D134" s="829" t="s">
        <v>2384</v>
      </c>
      <c r="E134" s="4"/>
      <c r="F134" s="4"/>
      <c r="G134" s="4"/>
      <c r="H134" s="4"/>
      <c r="I134" s="4"/>
      <c r="J134" s="4"/>
      <c r="K134" s="4"/>
    </row>
    <row r="135" spans="2:11" ht="24">
      <c r="B135" s="1033"/>
      <c r="C135" s="890"/>
      <c r="D135" s="829" t="s">
        <v>2385</v>
      </c>
      <c r="E135" s="4"/>
      <c r="F135" s="4"/>
      <c r="G135" s="4"/>
      <c r="H135" s="4"/>
      <c r="I135" s="4"/>
      <c r="J135" s="4"/>
      <c r="K135" s="4"/>
    </row>
    <row r="136" spans="2:11" ht="24">
      <c r="B136" s="1033"/>
      <c r="C136" s="890"/>
      <c r="D136" s="829" t="s">
        <v>2386</v>
      </c>
      <c r="E136" s="4"/>
      <c r="F136" s="4"/>
      <c r="G136" s="4"/>
      <c r="H136" s="4"/>
      <c r="I136" s="4"/>
      <c r="J136" s="4"/>
      <c r="K136" s="4"/>
    </row>
    <row r="137" spans="2:11" ht="24">
      <c r="B137" s="1033"/>
      <c r="C137" s="890"/>
      <c r="D137" s="829" t="s">
        <v>2387</v>
      </c>
      <c r="E137" s="4"/>
      <c r="F137" s="4"/>
      <c r="G137" s="4"/>
      <c r="H137" s="4"/>
      <c r="I137" s="4"/>
      <c r="J137" s="4"/>
      <c r="K137" s="4"/>
    </row>
    <row r="138" spans="2:11" ht="48">
      <c r="B138" s="1033"/>
      <c r="C138" s="890"/>
      <c r="D138" s="829" t="s">
        <v>2388</v>
      </c>
      <c r="E138" s="4"/>
      <c r="F138" s="4"/>
      <c r="G138" s="4"/>
      <c r="H138" s="4"/>
      <c r="I138" s="4"/>
      <c r="J138" s="4"/>
      <c r="K138" s="4"/>
    </row>
    <row r="139" spans="2:11" ht="24">
      <c r="B139" s="1033"/>
      <c r="C139" s="890"/>
      <c r="D139" s="829" t="s">
        <v>2389</v>
      </c>
      <c r="E139" s="4"/>
      <c r="F139" s="4"/>
      <c r="G139" s="4"/>
      <c r="H139" s="4"/>
      <c r="I139" s="4"/>
      <c r="J139" s="4"/>
      <c r="K139" s="4"/>
    </row>
    <row r="140" spans="2:11" ht="36.75" thickBot="1">
      <c r="B140" s="1034"/>
      <c r="C140" s="857"/>
      <c r="D140" s="845" t="s">
        <v>2390</v>
      </c>
      <c r="E140" s="4"/>
      <c r="F140" s="4"/>
      <c r="G140" s="4"/>
      <c r="H140" s="4"/>
      <c r="I140" s="4"/>
      <c r="J140" s="4"/>
      <c r="K140" s="4"/>
    </row>
    <row r="141" spans="2:11" ht="24">
      <c r="B141" s="1032" t="s">
        <v>1561</v>
      </c>
      <c r="C141" s="890"/>
      <c r="D141" s="836" t="s">
        <v>2311</v>
      </c>
      <c r="E141" s="4"/>
      <c r="F141" s="4"/>
      <c r="G141" s="4"/>
      <c r="H141" s="4"/>
      <c r="I141" s="4"/>
      <c r="J141" s="4"/>
      <c r="K141" s="4"/>
    </row>
    <row r="142" spans="2:11" ht="25.35" customHeight="1">
      <c r="B142" s="1033"/>
      <c r="C142" s="890"/>
      <c r="D142" s="829" t="s">
        <v>1773</v>
      </c>
      <c r="E142" s="4"/>
      <c r="F142" s="4"/>
      <c r="G142" s="4"/>
      <c r="H142" s="4"/>
      <c r="I142" s="4"/>
      <c r="J142" s="4"/>
      <c r="K142" s="4"/>
    </row>
    <row r="143" spans="2:11">
      <c r="B143" s="1033"/>
      <c r="C143" s="890"/>
      <c r="D143" s="829" t="s">
        <v>1562</v>
      </c>
      <c r="E143" s="4"/>
      <c r="F143" s="4"/>
      <c r="G143" s="4"/>
      <c r="H143" s="4"/>
      <c r="I143" s="4"/>
      <c r="J143" s="4"/>
      <c r="K143" s="4"/>
    </row>
    <row r="144" spans="2:11" ht="37.5">
      <c r="B144" s="1033"/>
      <c r="C144" s="890"/>
      <c r="D144" s="829" t="s">
        <v>2391</v>
      </c>
      <c r="E144" s="4"/>
      <c r="F144" s="4"/>
      <c r="G144" s="4"/>
      <c r="H144" s="4"/>
      <c r="I144" s="4"/>
      <c r="J144" s="4"/>
      <c r="K144" s="4"/>
    </row>
    <row r="145" spans="2:11" ht="37.5">
      <c r="B145" s="1033"/>
      <c r="C145" s="890"/>
      <c r="D145" s="829" t="s">
        <v>2392</v>
      </c>
      <c r="E145" s="4"/>
      <c r="F145" s="4"/>
      <c r="G145" s="4"/>
      <c r="H145" s="4"/>
      <c r="I145" s="4"/>
      <c r="J145" s="4"/>
      <c r="K145" s="4"/>
    </row>
    <row r="146" spans="2:11" ht="37.5">
      <c r="B146" s="1033"/>
      <c r="C146" s="890"/>
      <c r="D146" s="829" t="s">
        <v>2393</v>
      </c>
      <c r="E146" s="4"/>
      <c r="F146" s="4"/>
      <c r="G146" s="4"/>
      <c r="H146" s="4"/>
      <c r="I146" s="4"/>
      <c r="J146" s="4"/>
      <c r="K146" s="4"/>
    </row>
    <row r="147" spans="2:11" ht="37.5">
      <c r="B147" s="1033"/>
      <c r="C147" s="890"/>
      <c r="D147" s="829" t="s">
        <v>2394</v>
      </c>
      <c r="E147" s="4"/>
      <c r="F147" s="4"/>
      <c r="G147" s="4"/>
      <c r="H147" s="4"/>
      <c r="I147" s="4"/>
      <c r="J147" s="4"/>
      <c r="K147" s="4"/>
    </row>
    <row r="148" spans="2:11">
      <c r="B148" s="1033"/>
      <c r="C148" s="890"/>
      <c r="D148" s="829" t="s">
        <v>2395</v>
      </c>
      <c r="E148" s="4"/>
      <c r="F148" s="4"/>
      <c r="G148" s="4"/>
      <c r="H148" s="4"/>
      <c r="I148" s="4"/>
      <c r="J148" s="4"/>
      <c r="K148" s="4"/>
    </row>
    <row r="149" spans="2:11">
      <c r="B149" s="1033"/>
      <c r="C149" s="890"/>
      <c r="D149" s="829" t="s">
        <v>2396</v>
      </c>
      <c r="E149" s="4"/>
      <c r="F149" s="4"/>
      <c r="G149" s="4"/>
      <c r="H149" s="4"/>
      <c r="I149" s="4"/>
      <c r="J149" s="4"/>
      <c r="K149" s="4"/>
    </row>
    <row r="150" spans="2:11">
      <c r="B150" s="1033"/>
      <c r="C150" s="890"/>
      <c r="D150" s="829" t="s">
        <v>2397</v>
      </c>
      <c r="E150" s="4"/>
      <c r="F150" s="4"/>
      <c r="G150" s="4"/>
      <c r="H150" s="4"/>
      <c r="I150" s="4"/>
      <c r="J150" s="4"/>
      <c r="K150" s="4"/>
    </row>
    <row r="151" spans="2:11">
      <c r="B151" s="1033"/>
      <c r="C151" s="890"/>
      <c r="D151" s="829" t="s">
        <v>2398</v>
      </c>
      <c r="E151" s="4"/>
      <c r="F151" s="4"/>
      <c r="G151" s="4"/>
      <c r="H151" s="4"/>
      <c r="I151" s="4"/>
      <c r="J151" s="4"/>
      <c r="K151" s="4"/>
    </row>
    <row r="152" spans="2:11" ht="84">
      <c r="B152" s="1033"/>
      <c r="C152" s="890"/>
      <c r="D152" s="41" t="s">
        <v>1762</v>
      </c>
      <c r="E152" s="4"/>
      <c r="F152" s="4"/>
      <c r="G152" s="4"/>
      <c r="H152" s="4"/>
      <c r="I152" s="4"/>
      <c r="J152" s="4"/>
      <c r="K152" s="4"/>
    </row>
    <row r="153" spans="2:11">
      <c r="B153" s="1033"/>
      <c r="C153" s="890"/>
      <c r="D153" s="874" t="s">
        <v>1726</v>
      </c>
      <c r="E153" s="4"/>
      <c r="F153" s="4"/>
      <c r="G153" s="4"/>
      <c r="H153" s="4"/>
      <c r="I153" s="4"/>
      <c r="J153" s="4"/>
      <c r="K153" s="4"/>
    </row>
    <row r="154" spans="2:11" ht="24">
      <c r="B154" s="1033"/>
      <c r="C154" s="890"/>
      <c r="D154" s="836" t="s">
        <v>2399</v>
      </c>
      <c r="E154" s="4"/>
      <c r="F154" s="4"/>
      <c r="G154" s="4"/>
      <c r="H154" s="4"/>
      <c r="I154" s="4"/>
      <c r="J154" s="4"/>
      <c r="K154" s="4"/>
    </row>
    <row r="155" spans="2:11" ht="23.1" customHeight="1">
      <c r="B155" s="1033"/>
      <c r="C155" s="890"/>
      <c r="D155" s="829" t="s">
        <v>1773</v>
      </c>
      <c r="E155" s="4"/>
      <c r="F155" s="4"/>
      <c r="G155" s="4"/>
      <c r="H155" s="4"/>
      <c r="I155" s="4"/>
      <c r="J155" s="4"/>
      <c r="K155" s="4"/>
    </row>
    <row r="156" spans="2:11">
      <c r="B156" s="1033"/>
      <c r="C156" s="890"/>
      <c r="D156" s="829" t="s">
        <v>1562</v>
      </c>
      <c r="E156" s="4"/>
      <c r="F156" s="4"/>
      <c r="G156" s="4"/>
      <c r="H156" s="4"/>
      <c r="I156" s="4"/>
      <c r="J156" s="4"/>
      <c r="K156" s="4"/>
    </row>
    <row r="157" spans="2:11" ht="37.5">
      <c r="B157" s="1033"/>
      <c r="C157" s="890"/>
      <c r="D157" s="829" t="s">
        <v>2400</v>
      </c>
      <c r="E157" s="4"/>
      <c r="F157" s="4"/>
      <c r="G157" s="4"/>
      <c r="H157" s="4"/>
      <c r="I157" s="4"/>
      <c r="J157" s="4"/>
      <c r="K157" s="4"/>
    </row>
    <row r="158" spans="2:11" ht="37.5">
      <c r="B158" s="1033"/>
      <c r="C158" s="890"/>
      <c r="D158" s="829" t="s">
        <v>2401</v>
      </c>
      <c r="E158" s="4"/>
      <c r="F158" s="4"/>
      <c r="G158" s="4"/>
      <c r="H158" s="4"/>
      <c r="I158" s="4"/>
      <c r="J158" s="4"/>
      <c r="K158" s="4"/>
    </row>
    <row r="159" spans="2:11" ht="38.25" thickBot="1">
      <c r="B159" s="1034"/>
      <c r="C159" s="857"/>
      <c r="D159" s="845" t="s">
        <v>2402</v>
      </c>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row r="181" spans="2:11">
      <c r="B181" s="4"/>
      <c r="D181" s="4"/>
      <c r="E181" s="4"/>
      <c r="F181" s="4"/>
      <c r="G181" s="4"/>
      <c r="H181" s="4"/>
      <c r="I181" s="4"/>
      <c r="J181" s="4"/>
      <c r="K181" s="4"/>
    </row>
    <row r="182" spans="2:11">
      <c r="B182" s="4"/>
      <c r="D182" s="4"/>
      <c r="E182" s="4"/>
      <c r="F182" s="4"/>
      <c r="G182" s="4"/>
      <c r="H182" s="4"/>
      <c r="I182" s="4"/>
      <c r="J182" s="4"/>
      <c r="K182" s="4"/>
    </row>
    <row r="183" spans="2:11">
      <c r="B183" s="4"/>
      <c r="D183" s="4"/>
      <c r="E183" s="4"/>
      <c r="F183" s="4"/>
      <c r="G183" s="4"/>
      <c r="H183" s="4"/>
      <c r="I183" s="4"/>
      <c r="J183" s="4"/>
      <c r="K183" s="4"/>
    </row>
    <row r="184" spans="2:11">
      <c r="B184" s="4"/>
      <c r="D184" s="4"/>
      <c r="E184" s="4"/>
      <c r="F184" s="4"/>
      <c r="G184" s="4"/>
      <c r="H184" s="4"/>
      <c r="I184" s="4"/>
      <c r="J184" s="4"/>
      <c r="K184" s="4"/>
    </row>
    <row r="185" spans="2:11">
      <c r="B185" s="4"/>
      <c r="D185" s="4"/>
      <c r="E185" s="4"/>
      <c r="F185" s="4"/>
      <c r="G185" s="4"/>
      <c r="H185" s="4"/>
      <c r="I185" s="4"/>
      <c r="J185" s="4"/>
      <c r="K185" s="4"/>
    </row>
    <row r="186" spans="2:11">
      <c r="B186" s="4"/>
      <c r="D186" s="4"/>
      <c r="E186" s="4"/>
      <c r="F186" s="4"/>
      <c r="G186" s="4"/>
      <c r="H186" s="4"/>
      <c r="I186" s="4"/>
      <c r="J186" s="4"/>
      <c r="K186" s="4"/>
    </row>
    <row r="187" spans="2:11">
      <c r="B187" s="4"/>
      <c r="D187" s="4"/>
      <c r="E187" s="4"/>
      <c r="F187" s="4"/>
      <c r="G187" s="4"/>
      <c r="H187" s="4"/>
      <c r="I187" s="4"/>
      <c r="J187" s="4"/>
      <c r="K187" s="4"/>
    </row>
    <row r="188" spans="2:11">
      <c r="B188" s="4"/>
      <c r="D188" s="4"/>
      <c r="E188" s="4"/>
      <c r="F188" s="4"/>
      <c r="G188" s="4"/>
      <c r="H188" s="4"/>
      <c r="I188" s="4"/>
      <c r="J188" s="4"/>
      <c r="K188" s="4"/>
    </row>
  </sheetData>
  <sheetProtection insertColumns="0" insertRows="0"/>
  <mergeCells count="36">
    <mergeCell ref="A1:P1"/>
    <mergeCell ref="A2:P2"/>
    <mergeCell ref="A3:P3"/>
    <mergeCell ref="A4:D4"/>
    <mergeCell ref="A5:P5"/>
    <mergeCell ref="B15:B19"/>
    <mergeCell ref="B59:E59"/>
    <mergeCell ref="B60:B66"/>
    <mergeCell ref="B68:E68"/>
    <mergeCell ref="B69:B75"/>
    <mergeCell ref="D15:L15"/>
    <mergeCell ref="D16:L16"/>
    <mergeCell ref="D19:L19"/>
    <mergeCell ref="D20:L20"/>
    <mergeCell ref="D36:L36"/>
    <mergeCell ref="D37:L37"/>
    <mergeCell ref="D38:L38"/>
    <mergeCell ref="D54:L54"/>
    <mergeCell ref="E21:E22"/>
    <mergeCell ref="F21:J21"/>
    <mergeCell ref="C39:C40"/>
    <mergeCell ref="D39:D40"/>
    <mergeCell ref="E39:E40"/>
    <mergeCell ref="F39:K39"/>
    <mergeCell ref="C21:C22"/>
    <mergeCell ref="D21:D22"/>
    <mergeCell ref="B82:E83"/>
    <mergeCell ref="B85:D85"/>
    <mergeCell ref="B87:B103"/>
    <mergeCell ref="B105:B140"/>
    <mergeCell ref="B141:B159"/>
    <mergeCell ref="B10:D10"/>
    <mergeCell ref="F10:S10"/>
    <mergeCell ref="F11:S11"/>
    <mergeCell ref="E12:R12"/>
    <mergeCell ref="E13:R13"/>
  </mergeCells>
  <conditionalFormatting sqref="H35">
    <cfRule type="containsText" dxfId="52" priority="5" operator="containsText" text="ERROR">
      <formula>NOT(ISERROR(SEARCH("ERROR",H35)))</formula>
    </cfRule>
  </conditionalFormatting>
  <conditionalFormatting sqref="F10">
    <cfRule type="notContainsBlanks" dxfId="51" priority="4">
      <formula>LEN(TRIM(F10))&gt;0</formula>
    </cfRule>
  </conditionalFormatting>
  <conditionalFormatting sqref="F11:S11">
    <cfRule type="expression" dxfId="50" priority="2">
      <formula>E11="NO SE REPORTA"</formula>
    </cfRule>
    <cfRule type="expression" dxfId="49" priority="3">
      <formula>E10="NO APLICA"</formula>
    </cfRule>
  </conditionalFormatting>
  <conditionalFormatting sqref="E12:R12">
    <cfRule type="expression" dxfId="48"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B00-000000000000}">
      <formula1>0</formula1>
    </dataValidation>
    <dataValidation type="whole" operator="greaterThanOrEqual" allowBlank="1" showInputMessage="1" showErrorMessage="1" errorTitle="ERROR" error="Valor en PESOS (sin centavos)" sqref="F41:I52" xr:uid="{00000000-0002-0000-1B00-000001000000}">
      <formula1>0</formula1>
    </dataValidation>
    <dataValidation type="decimal" allowBlank="1" showInputMessage="1" showErrorMessage="1" errorTitle="ERROR" error="Escriba un valor entre 0% y 100%" sqref="F23:H34" xr:uid="{00000000-0002-0000-1B00-000002000000}">
      <formula1>0</formula1>
      <formula2>1</formula2>
    </dataValidation>
    <dataValidation allowBlank="1" showInputMessage="1" showErrorMessage="1" sqref="G53:I53 I23:I35 H35 J41:K53" xr:uid="{00000000-0002-0000-1B00-000003000000}"/>
    <dataValidation type="list" allowBlank="1" showInputMessage="1" showErrorMessage="1" sqref="E11" xr:uid="{00000000-0002-0000-1B00-000004000000}">
      <formula1>REPORTE</formula1>
    </dataValidation>
    <dataValidation type="list" allowBlank="1" showInputMessage="1" showErrorMessage="1" sqref="E10" xr:uid="{00000000-0002-0000-1B00-000005000000}">
      <formula1>SI</formula1>
    </dataValidation>
  </dataValidations>
  <hyperlinks>
    <hyperlink ref="B9" location="'ANEXO 3'!A1" display="VOLVER AL INDICE" xr:uid="{00000000-0004-0000-1B00-000000000000}"/>
    <hyperlink ref="E64" r:id="rId1" xr:uid="{00000000-0004-0000-1B00-000001000000}"/>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U180"/>
  <sheetViews>
    <sheetView showGridLines="0" topLeftCell="A4" zoomScale="98" zoomScaleNormal="98" workbookViewId="0">
      <selection activeCell="E36" sqref="E36"/>
    </sheetView>
  </sheetViews>
  <sheetFormatPr defaultColWidth="10.7109375" defaultRowHeight="15"/>
  <cols>
    <col min="1" max="1" width="1.85546875" style="241" customWidth="1"/>
    <col min="2" max="2" width="10.85546875" style="241" customWidth="1"/>
    <col min="3" max="3" width="5" style="63" bestFit="1" customWidth="1"/>
    <col min="4" max="4" width="34.85546875" style="241" customWidth="1"/>
    <col min="5" max="5" width="18.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755</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1" t="s">
        <v>1440</v>
      </c>
      <c r="C8" s="164">
        <v>2020</v>
      </c>
      <c r="D8" s="169">
        <f>IF(E10="NO APLICA","NO APLICA",IF(E11="NO SE REPORTA","SIN INFORMACION",+F42))</f>
        <v>0</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1853</v>
      </c>
      <c r="F12" s="1056"/>
      <c r="G12" s="1056"/>
      <c r="H12" s="1056"/>
      <c r="I12" s="1056"/>
      <c r="J12" s="1056"/>
      <c r="K12" s="1056"/>
      <c r="L12" s="1056"/>
      <c r="M12" s="1056"/>
      <c r="N12" s="1056"/>
      <c r="O12" s="1056"/>
      <c r="P12" s="1056"/>
      <c r="Q12" s="1056"/>
      <c r="R12" s="1056"/>
    </row>
    <row r="13" spans="1:21" ht="39" customHeight="1">
      <c r="B13" s="300"/>
      <c r="C13" s="64"/>
      <c r="D13" s="132" t="s">
        <v>1447</v>
      </c>
      <c r="E13" s="1057" t="s">
        <v>2403</v>
      </c>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ht="15.6" customHeight="1" thickTop="1" thickBot="1">
      <c r="B15" s="1132" t="s">
        <v>1449</v>
      </c>
      <c r="C15" s="65"/>
      <c r="D15" s="1009" t="s">
        <v>1816</v>
      </c>
      <c r="E15" s="1010"/>
      <c r="F15" s="1010"/>
      <c r="G15" s="1010"/>
      <c r="H15" s="1010"/>
      <c r="I15" s="1010"/>
      <c r="J15" s="1010"/>
      <c r="K15" s="1010"/>
      <c r="L15" s="1145"/>
    </row>
    <row r="16" spans="1:21" ht="15.75" thickBot="1">
      <c r="B16" s="1133"/>
      <c r="C16" s="66" t="s">
        <v>1402</v>
      </c>
      <c r="D16" s="872" t="s">
        <v>1707</v>
      </c>
      <c r="E16" s="872" t="s">
        <v>1487</v>
      </c>
      <c r="F16" s="872" t="s">
        <v>1488</v>
      </c>
      <c r="G16" s="872" t="s">
        <v>1489</v>
      </c>
      <c r="H16" s="872" t="s">
        <v>1490</v>
      </c>
      <c r="I16" s="872" t="s">
        <v>2171</v>
      </c>
      <c r="J16" s="4"/>
      <c r="L16" s="17"/>
    </row>
    <row r="17" spans="2:12" ht="48.75" thickBot="1">
      <c r="B17" s="1133"/>
      <c r="C17" s="67" t="s">
        <v>1605</v>
      </c>
      <c r="D17" s="845" t="s">
        <v>2404</v>
      </c>
      <c r="E17" s="5">
        <v>0</v>
      </c>
      <c r="F17" s="5">
        <v>24</v>
      </c>
      <c r="G17" s="5">
        <v>21</v>
      </c>
      <c r="H17" s="5">
        <v>21</v>
      </c>
      <c r="I17" s="34">
        <f>SUM(E17:H17)</f>
        <v>66</v>
      </c>
      <c r="J17" s="31"/>
      <c r="L17" s="17"/>
    </row>
    <row r="18" spans="2:12" ht="15.75" thickBot="1">
      <c r="B18" s="1133"/>
      <c r="C18" s="67" t="s">
        <v>1607</v>
      </c>
      <c r="D18" s="845" t="s">
        <v>2338</v>
      </c>
      <c r="E18" s="144">
        <v>0</v>
      </c>
      <c r="F18" s="144">
        <v>760000000</v>
      </c>
      <c r="G18" s="144">
        <v>350000000</v>
      </c>
      <c r="H18" s="144">
        <v>450000000</v>
      </c>
      <c r="I18" s="96">
        <f>SUM(E18:H18)</f>
        <v>1560000000</v>
      </c>
      <c r="J18" s="4"/>
      <c r="L18" s="17"/>
    </row>
    <row r="19" spans="2:12" ht="15.75" thickBot="1">
      <c r="B19" s="1133"/>
      <c r="C19" s="67" t="s">
        <v>1610</v>
      </c>
      <c r="D19" s="845" t="s">
        <v>2405</v>
      </c>
      <c r="E19" s="144">
        <v>0</v>
      </c>
      <c r="F19" s="144"/>
      <c r="G19" s="144"/>
      <c r="H19" s="144"/>
      <c r="I19" s="96">
        <f>SUM(E19:H19)</f>
        <v>0</v>
      </c>
      <c r="J19" s="4"/>
      <c r="L19" s="17"/>
    </row>
    <row r="20" spans="2:12">
      <c r="B20" s="838"/>
      <c r="C20" s="68"/>
      <c r="D20" s="1015"/>
      <c r="E20" s="1016"/>
      <c r="F20" s="1016"/>
      <c r="G20" s="1016"/>
      <c r="H20" s="1016"/>
      <c r="I20" s="1016"/>
      <c r="J20" s="1016"/>
      <c r="K20" s="1016"/>
      <c r="L20" s="1146"/>
    </row>
    <row r="21" spans="2:12" ht="15.75" thickBot="1">
      <c r="B21" s="838"/>
      <c r="C21" s="68"/>
      <c r="D21" s="1044" t="s">
        <v>2406</v>
      </c>
      <c r="E21" s="1045"/>
      <c r="F21" s="1045"/>
      <c r="G21" s="1045"/>
      <c r="H21" s="1045"/>
      <c r="I21" s="1045"/>
      <c r="J21" s="1045"/>
      <c r="K21" s="1045"/>
      <c r="L21" s="1148"/>
    </row>
    <row r="22" spans="2:12" ht="15" customHeight="1" thickBot="1">
      <c r="B22" s="838"/>
      <c r="C22" s="1089" t="s">
        <v>1402</v>
      </c>
      <c r="D22" s="1032" t="s">
        <v>1728</v>
      </c>
      <c r="E22" s="1032" t="s">
        <v>2174</v>
      </c>
      <c r="F22" s="1041" t="s">
        <v>2175</v>
      </c>
      <c r="G22" s="1043"/>
      <c r="H22" s="1041" t="s">
        <v>2253</v>
      </c>
      <c r="I22" s="1042"/>
      <c r="J22" s="1042"/>
      <c r="K22" s="1043"/>
      <c r="L22" s="86"/>
    </row>
    <row r="23" spans="2:12" ht="34.5" thickBot="1">
      <c r="B23" s="838"/>
      <c r="C23" s="1090"/>
      <c r="D23" s="1034"/>
      <c r="E23" s="1034"/>
      <c r="F23" s="49" t="s">
        <v>2176</v>
      </c>
      <c r="G23" s="875" t="s">
        <v>2177</v>
      </c>
      <c r="H23" s="49" t="s">
        <v>2338</v>
      </c>
      <c r="I23" s="49" t="s">
        <v>1827</v>
      </c>
      <c r="J23" s="49" t="s">
        <v>1732</v>
      </c>
      <c r="K23" s="49" t="s">
        <v>1733</v>
      </c>
      <c r="L23" s="9"/>
    </row>
    <row r="24" spans="2:12" ht="36.75" thickBot="1">
      <c r="B24" s="838"/>
      <c r="C24" s="222">
        <v>1</v>
      </c>
      <c r="D24" s="24" t="s">
        <v>2407</v>
      </c>
      <c r="E24" s="24" t="s">
        <v>2408</v>
      </c>
      <c r="F24" s="26">
        <v>0</v>
      </c>
      <c r="G24" s="26">
        <v>0</v>
      </c>
      <c r="H24" s="144">
        <v>150000000</v>
      </c>
      <c r="I24" s="144"/>
      <c r="J24" s="144">
        <v>0</v>
      </c>
      <c r="K24" s="144"/>
      <c r="L24" s="1223" t="s">
        <v>2409</v>
      </c>
    </row>
    <row r="25" spans="2:12" ht="48.75" thickBot="1">
      <c r="B25" s="838"/>
      <c r="C25" s="222">
        <v>2</v>
      </c>
      <c r="D25" s="24" t="s">
        <v>2410</v>
      </c>
      <c r="E25" s="24" t="s">
        <v>2411</v>
      </c>
      <c r="F25" s="26">
        <v>0</v>
      </c>
      <c r="G25" s="26">
        <v>0</v>
      </c>
      <c r="H25" s="144">
        <v>610000000</v>
      </c>
      <c r="I25" s="144"/>
      <c r="J25" s="144">
        <v>0</v>
      </c>
      <c r="K25" s="144"/>
      <c r="L25" s="1223"/>
    </row>
    <row r="26" spans="2:12" ht="48.75" thickBot="1">
      <c r="B26" s="838"/>
      <c r="C26" s="222">
        <v>3</v>
      </c>
      <c r="D26" s="24" t="s">
        <v>2412</v>
      </c>
      <c r="E26" s="24" t="s">
        <v>2413</v>
      </c>
      <c r="F26" s="26">
        <v>0</v>
      </c>
      <c r="G26" s="26">
        <v>0</v>
      </c>
      <c r="H26" s="144">
        <v>500000000</v>
      </c>
      <c r="I26" s="144"/>
      <c r="J26" s="144">
        <v>0</v>
      </c>
      <c r="K26" s="144"/>
      <c r="L26" s="1223"/>
    </row>
    <row r="27" spans="2:12" ht="84.75" thickBot="1">
      <c r="B27" s="838"/>
      <c r="C27" s="222">
        <v>4</v>
      </c>
      <c r="D27" s="24" t="s">
        <v>2414</v>
      </c>
      <c r="E27" s="24" t="s">
        <v>2415</v>
      </c>
      <c r="F27" s="26">
        <v>0</v>
      </c>
      <c r="G27" s="26">
        <v>0</v>
      </c>
      <c r="H27" s="144">
        <v>300000000</v>
      </c>
      <c r="I27" s="144"/>
      <c r="J27" s="144">
        <v>0</v>
      </c>
      <c r="K27" s="144"/>
      <c r="L27" s="1223"/>
    </row>
    <row r="28" spans="2:12" ht="15.75" thickBot="1">
      <c r="B28" s="838"/>
      <c r="C28" s="222">
        <v>5</v>
      </c>
      <c r="D28" s="25"/>
      <c r="E28" s="24"/>
      <c r="F28" s="26">
        <v>0</v>
      </c>
      <c r="G28" s="26">
        <v>0</v>
      </c>
      <c r="H28" s="144"/>
      <c r="I28" s="144"/>
      <c r="J28" s="144"/>
      <c r="K28" s="144"/>
      <c r="L28" s="9"/>
    </row>
    <row r="29" spans="2:12" ht="15.75" thickBot="1">
      <c r="B29" s="838"/>
      <c r="C29" s="222">
        <v>6</v>
      </c>
      <c r="D29" s="25"/>
      <c r="E29" s="24"/>
      <c r="F29" s="26">
        <v>0</v>
      </c>
      <c r="G29" s="26">
        <v>0</v>
      </c>
      <c r="H29" s="144"/>
      <c r="I29" s="144"/>
      <c r="J29" s="144"/>
      <c r="K29" s="144"/>
      <c r="L29" s="9"/>
    </row>
    <row r="30" spans="2:12" ht="15.75" thickBot="1">
      <c r="B30" s="838"/>
      <c r="C30" s="55"/>
      <c r="D30" s="36" t="s">
        <v>1604</v>
      </c>
      <c r="E30" s="870"/>
      <c r="F30" s="871"/>
      <c r="G30" s="872"/>
      <c r="H30" s="97">
        <f>SUM(H24:H29)</f>
        <v>1560000000</v>
      </c>
      <c r="I30" s="97">
        <f>SUM(I24:I29)</f>
        <v>0</v>
      </c>
      <c r="J30" s="97">
        <f>SUM(J24:J29)</f>
        <v>0</v>
      </c>
      <c r="K30" s="97">
        <f>SUM(K24:K29)</f>
        <v>0</v>
      </c>
      <c r="L30" s="10"/>
    </row>
    <row r="31" spans="2:12">
      <c r="B31" s="838"/>
      <c r="C31" s="68"/>
      <c r="D31" s="1015" t="s">
        <v>2416</v>
      </c>
      <c r="E31" s="1016"/>
      <c r="F31" s="1016"/>
      <c r="G31" s="1016"/>
      <c r="H31" s="1016"/>
      <c r="I31" s="1016"/>
      <c r="J31" s="1016"/>
      <c r="K31" s="1016"/>
      <c r="L31" s="1146"/>
    </row>
    <row r="32" spans="2:12" ht="24" customHeight="1" thickBot="1">
      <c r="B32" s="838"/>
      <c r="C32" s="68"/>
      <c r="D32" s="1015" t="s">
        <v>2417</v>
      </c>
      <c r="E32" s="1016"/>
      <c r="F32" s="1016"/>
      <c r="G32" s="1016"/>
      <c r="H32" s="1016"/>
      <c r="I32" s="1016"/>
      <c r="J32" s="1016"/>
      <c r="K32" s="1016"/>
      <c r="L32" s="1146"/>
    </row>
    <row r="33" spans="2:14" ht="15.75" thickBot="1">
      <c r="B33" s="838"/>
      <c r="C33" s="1217" t="s">
        <v>1402</v>
      </c>
      <c r="D33" s="1183" t="s">
        <v>2271</v>
      </c>
      <c r="E33" s="876" t="s">
        <v>2418</v>
      </c>
      <c r="F33" s="1186" t="s">
        <v>2272</v>
      </c>
      <c r="G33" s="1187"/>
      <c r="H33" s="1220" t="s">
        <v>1406</v>
      </c>
      <c r="I33" s="4"/>
      <c r="J33" s="4"/>
      <c r="L33" s="17"/>
    </row>
    <row r="34" spans="2:14">
      <c r="B34" s="838"/>
      <c r="C34" s="1218"/>
      <c r="D34" s="1184"/>
      <c r="E34" s="1032" t="s">
        <v>2419</v>
      </c>
      <c r="F34" s="1032" t="s">
        <v>2273</v>
      </c>
      <c r="G34" s="829" t="s">
        <v>2274</v>
      </c>
      <c r="H34" s="1221"/>
      <c r="I34" s="4"/>
      <c r="J34" s="4"/>
      <c r="L34" s="17"/>
    </row>
    <row r="35" spans="2:14" ht="24.75" thickBot="1">
      <c r="B35" s="838"/>
      <c r="C35" s="1219"/>
      <c r="D35" s="1185"/>
      <c r="E35" s="1034"/>
      <c r="F35" s="1034"/>
      <c r="G35" s="845" t="s">
        <v>2254</v>
      </c>
      <c r="H35" s="1222"/>
      <c r="I35" s="4"/>
      <c r="J35" s="4"/>
      <c r="L35" s="17"/>
    </row>
    <row r="36" spans="2:14" ht="15.75" thickBot="1">
      <c r="B36" s="838"/>
      <c r="C36" s="873">
        <v>1</v>
      </c>
      <c r="D36" s="282"/>
      <c r="E36" s="26">
        <f t="shared" ref="E36:E41" si="0">+G24</f>
        <v>0</v>
      </c>
      <c r="F36" s="103">
        <f t="shared" ref="F36:G41" si="1">IFERROR(J24/I24,0)</f>
        <v>0</v>
      </c>
      <c r="G36" s="103">
        <f t="shared" si="1"/>
        <v>0</v>
      </c>
      <c r="H36" s="25"/>
      <c r="I36" s="4"/>
      <c r="J36" s="4"/>
      <c r="L36" s="17"/>
    </row>
    <row r="37" spans="2:14" ht="15.75" thickBot="1">
      <c r="B37" s="838"/>
      <c r="C37" s="873">
        <v>2</v>
      </c>
      <c r="D37" s="282"/>
      <c r="E37" s="26">
        <f t="shared" si="0"/>
        <v>0</v>
      </c>
      <c r="F37" s="103">
        <f t="shared" si="1"/>
        <v>0</v>
      </c>
      <c r="G37" s="103">
        <f t="shared" si="1"/>
        <v>0</v>
      </c>
      <c r="H37" s="25"/>
      <c r="I37" s="4"/>
      <c r="J37" s="4"/>
      <c r="L37" s="17"/>
    </row>
    <row r="38" spans="2:14" ht="15.75" thickBot="1">
      <c r="B38" s="838"/>
      <c r="C38" s="873">
        <v>3</v>
      </c>
      <c r="D38" s="282"/>
      <c r="E38" s="26">
        <f t="shared" si="0"/>
        <v>0</v>
      </c>
      <c r="F38" s="103">
        <f t="shared" si="1"/>
        <v>0</v>
      </c>
      <c r="G38" s="103">
        <f t="shared" si="1"/>
        <v>0</v>
      </c>
      <c r="H38" s="25"/>
      <c r="I38" s="4"/>
      <c r="J38" s="4"/>
      <c r="L38" s="17"/>
    </row>
    <row r="39" spans="2:14" ht="15.75" thickBot="1">
      <c r="B39" s="838"/>
      <c r="C39" s="873">
        <v>4</v>
      </c>
      <c r="D39" s="282"/>
      <c r="E39" s="26">
        <f t="shared" si="0"/>
        <v>0</v>
      </c>
      <c r="F39" s="103">
        <f t="shared" si="1"/>
        <v>0</v>
      </c>
      <c r="G39" s="103">
        <f t="shared" si="1"/>
        <v>0</v>
      </c>
      <c r="H39" s="25"/>
      <c r="I39" s="4"/>
      <c r="J39" s="4"/>
      <c r="L39" s="17"/>
    </row>
    <row r="40" spans="2:14" ht="15.75" thickBot="1">
      <c r="B40" s="838"/>
      <c r="C40" s="873">
        <v>5</v>
      </c>
      <c r="D40" s="282"/>
      <c r="E40" s="26">
        <f t="shared" si="0"/>
        <v>0</v>
      </c>
      <c r="F40" s="103">
        <f t="shared" si="1"/>
        <v>0</v>
      </c>
      <c r="G40" s="103">
        <f t="shared" si="1"/>
        <v>0</v>
      </c>
      <c r="H40" s="25"/>
      <c r="I40" s="4"/>
      <c r="J40" s="4"/>
      <c r="L40" s="17"/>
    </row>
    <row r="41" spans="2:14" ht="15.75" thickBot="1">
      <c r="B41" s="838"/>
      <c r="C41" s="873">
        <v>6</v>
      </c>
      <c r="D41" s="282"/>
      <c r="E41" s="26">
        <f t="shared" si="0"/>
        <v>0</v>
      </c>
      <c r="F41" s="103">
        <f t="shared" si="1"/>
        <v>0</v>
      </c>
      <c r="G41" s="103">
        <f t="shared" si="1"/>
        <v>0</v>
      </c>
      <c r="H41" s="25"/>
      <c r="I41" s="4"/>
      <c r="J41" s="4"/>
      <c r="L41" s="17"/>
    </row>
    <row r="42" spans="2:14" ht="15.75" thickBot="1">
      <c r="B42" s="839"/>
      <c r="C42" s="880"/>
      <c r="D42" s="849" t="str">
        <f>[1]Formulas!$D$24</f>
        <v>ERROR: LA SUMA DE LA COLUMNA DEBE SER 100%</v>
      </c>
      <c r="E42" s="159">
        <f>+D36*E36+D37*E37+D38*E38+D39*E39+D40*E40+D41*E41</f>
        <v>0</v>
      </c>
      <c r="F42" s="159">
        <f>+D36*F36+D37*F37+D38*F38+D39*F39+D40*F40+D41*F41</f>
        <v>0</v>
      </c>
      <c r="G42" s="103" t="e">
        <f>[1]Formulas!F24</f>
        <v>#DIV/0!</v>
      </c>
      <c r="H42" s="25"/>
      <c r="I42" s="18"/>
      <c r="J42" s="18"/>
      <c r="K42" s="18"/>
      <c r="L42" s="19"/>
      <c r="N42" s="241" t="s">
        <v>2420</v>
      </c>
    </row>
    <row r="43" spans="2:14" ht="15.75" thickBot="1">
      <c r="B43" s="31"/>
      <c r="C43" s="64"/>
      <c r="D43" s="4"/>
      <c r="E43" s="4"/>
      <c r="F43" s="4"/>
      <c r="G43" s="4"/>
      <c r="H43" s="4"/>
      <c r="I43" s="4"/>
      <c r="J43" s="4"/>
      <c r="K43" s="4"/>
    </row>
    <row r="44" spans="2:14" ht="108.75" thickBot="1">
      <c r="B44" s="40" t="s">
        <v>1504</v>
      </c>
      <c r="C44" s="878"/>
      <c r="D44" s="842" t="s">
        <v>2421</v>
      </c>
      <c r="E44" s="4"/>
      <c r="F44" s="4"/>
      <c r="G44" s="4"/>
      <c r="H44" s="4"/>
      <c r="I44" s="4"/>
      <c r="J44" s="4"/>
      <c r="K44" s="4"/>
    </row>
    <row r="45" spans="2:14" ht="48.6" customHeight="1" thickBot="1">
      <c r="B45" s="839" t="s">
        <v>1506</v>
      </c>
      <c r="C45" s="857"/>
      <c r="D45" s="845" t="s">
        <v>1831</v>
      </c>
      <c r="E45" s="4"/>
      <c r="F45" s="4"/>
      <c r="G45" s="4"/>
      <c r="H45" s="4"/>
      <c r="I45" s="4"/>
      <c r="J45" s="4"/>
      <c r="K45" s="4"/>
    </row>
    <row r="46" spans="2:14" ht="15.75" thickBot="1">
      <c r="B46" s="1"/>
      <c r="C46" s="55"/>
      <c r="D46" s="4"/>
      <c r="E46" s="4"/>
      <c r="F46" s="4"/>
      <c r="G46" s="4"/>
      <c r="H46" s="4"/>
      <c r="I46" s="4"/>
      <c r="J46" s="4"/>
      <c r="K46" s="4"/>
    </row>
    <row r="47" spans="2:14" ht="24" customHeight="1" thickBot="1">
      <c r="B47" s="1029" t="s">
        <v>1508</v>
      </c>
      <c r="C47" s="1030"/>
      <c r="D47" s="1030"/>
      <c r="E47" s="1031"/>
      <c r="F47" s="4"/>
      <c r="G47" s="4"/>
      <c r="H47" s="4"/>
      <c r="I47" s="4"/>
      <c r="J47" s="4"/>
      <c r="K47" s="4"/>
    </row>
    <row r="48" spans="2:14" ht="15.75" thickBot="1">
      <c r="B48" s="1032">
        <v>1</v>
      </c>
      <c r="C48" s="890"/>
      <c r="D48" s="37" t="s">
        <v>1509</v>
      </c>
      <c r="E48" s="121" t="s">
        <v>1510</v>
      </c>
      <c r="F48" s="4"/>
      <c r="G48" s="4"/>
      <c r="H48" s="4"/>
      <c r="I48" s="4"/>
      <c r="J48" s="4"/>
      <c r="K48" s="4"/>
    </row>
    <row r="49" spans="2:11" ht="24.75" thickBot="1">
      <c r="B49" s="1033"/>
      <c r="C49" s="890"/>
      <c r="D49" s="845" t="s">
        <v>10</v>
      </c>
      <c r="E49" s="275" t="s">
        <v>1643</v>
      </c>
      <c r="F49" s="4"/>
      <c r="G49" s="4"/>
      <c r="H49" s="4"/>
      <c r="I49" s="4"/>
      <c r="J49" s="4"/>
      <c r="K49" s="4"/>
    </row>
    <row r="50" spans="2:11" ht="15.75" thickBot="1">
      <c r="B50" s="1033"/>
      <c r="C50" s="890"/>
      <c r="D50" s="845" t="s">
        <v>1512</v>
      </c>
      <c r="E50" s="121" t="s">
        <v>1691</v>
      </c>
      <c r="F50" s="4"/>
      <c r="G50" s="4"/>
      <c r="H50" s="4"/>
      <c r="I50" s="4"/>
      <c r="J50" s="4"/>
      <c r="K50" s="4"/>
    </row>
    <row r="51" spans="2:11" ht="15.75" thickBot="1">
      <c r="B51" s="1033"/>
      <c r="C51" s="890"/>
      <c r="D51" s="845" t="s">
        <v>13</v>
      </c>
      <c r="E51" s="121" t="s">
        <v>1514</v>
      </c>
      <c r="F51" s="4"/>
      <c r="G51" s="4"/>
      <c r="H51" s="4"/>
      <c r="I51" s="4"/>
      <c r="J51" s="4"/>
      <c r="K51" s="4"/>
    </row>
    <row r="52" spans="2:11" ht="30.75" thickBot="1">
      <c r="B52" s="1033"/>
      <c r="C52" s="890"/>
      <c r="D52" s="845" t="s">
        <v>16</v>
      </c>
      <c r="E52" s="709" t="s">
        <v>1646</v>
      </c>
      <c r="F52" s="4"/>
      <c r="G52" s="4"/>
      <c r="H52" s="4"/>
      <c r="I52" s="4"/>
      <c r="J52" s="4"/>
      <c r="K52" s="4"/>
    </row>
    <row r="53" spans="2:11" ht="15.75" thickBot="1">
      <c r="B53" s="1033"/>
      <c r="C53" s="890"/>
      <c r="D53" s="845" t="s">
        <v>19</v>
      </c>
      <c r="E53" s="753" t="s">
        <v>1647</v>
      </c>
      <c r="F53" s="4"/>
      <c r="G53" s="4"/>
      <c r="H53" s="4"/>
      <c r="I53" s="4"/>
      <c r="J53" s="4"/>
      <c r="K53" s="4"/>
    </row>
    <row r="54" spans="2:11" ht="24.75" thickBot="1">
      <c r="B54" s="1034"/>
      <c r="C54" s="857"/>
      <c r="D54" s="845" t="s">
        <v>1516</v>
      </c>
      <c r="E54" s="275" t="s">
        <v>1517</v>
      </c>
      <c r="F54" s="4"/>
      <c r="G54" s="4"/>
      <c r="H54" s="4"/>
      <c r="I54" s="4"/>
      <c r="J54" s="4"/>
      <c r="K54" s="4"/>
    </row>
    <row r="55" spans="2:11" ht="15.75" thickBot="1">
      <c r="B55" s="1"/>
      <c r="C55" s="55"/>
      <c r="D55" s="4"/>
      <c r="E55" s="4"/>
      <c r="F55" s="4"/>
      <c r="G55" s="4"/>
      <c r="H55" s="4"/>
      <c r="I55" s="4"/>
      <c r="J55" s="4"/>
      <c r="K55" s="4"/>
    </row>
    <row r="56" spans="2:11" ht="15.75" thickBot="1">
      <c r="B56" s="1029" t="s">
        <v>1518</v>
      </c>
      <c r="C56" s="1030"/>
      <c r="D56" s="1030"/>
      <c r="E56" s="1031"/>
      <c r="F56" s="4"/>
      <c r="G56" s="4"/>
      <c r="H56" s="4"/>
      <c r="I56" s="4"/>
      <c r="J56" s="4"/>
      <c r="K56" s="4"/>
    </row>
    <row r="57" spans="2:11" ht="15.75" thickBot="1">
      <c r="B57" s="1032">
        <v>1</v>
      </c>
      <c r="C57" s="890"/>
      <c r="D57" s="37" t="s">
        <v>1509</v>
      </c>
      <c r="E57" s="299" t="s">
        <v>1519</v>
      </c>
      <c r="F57" s="4"/>
      <c r="G57" s="4"/>
      <c r="H57" s="4"/>
      <c r="I57" s="4"/>
      <c r="J57" s="4"/>
      <c r="K57" s="4"/>
    </row>
    <row r="58" spans="2:11" ht="15.75" thickBot="1">
      <c r="B58" s="1033"/>
      <c r="C58" s="890"/>
      <c r="D58" s="845" t="s">
        <v>10</v>
      </c>
      <c r="E58" s="299" t="s">
        <v>1616</v>
      </c>
      <c r="F58" s="4"/>
      <c r="G58" s="4"/>
      <c r="H58" s="4"/>
      <c r="I58" s="4"/>
      <c r="J58" s="4"/>
      <c r="K58" s="4"/>
    </row>
    <row r="59" spans="2:11" ht="15.75" thickBot="1">
      <c r="B59" s="1033"/>
      <c r="C59" s="890"/>
      <c r="D59" s="845" t="s">
        <v>1512</v>
      </c>
      <c r="E59" s="126"/>
      <c r="F59" s="4"/>
      <c r="G59" s="4"/>
      <c r="H59" s="4"/>
      <c r="I59" s="4"/>
      <c r="J59" s="4"/>
      <c r="K59" s="4"/>
    </row>
    <row r="60" spans="2:11" ht="15.75" thickBot="1">
      <c r="B60" s="1033"/>
      <c r="C60" s="890"/>
      <c r="D60" s="845" t="s">
        <v>13</v>
      </c>
      <c r="E60" s="126"/>
      <c r="F60" s="4"/>
      <c r="G60" s="4"/>
      <c r="H60" s="4"/>
      <c r="I60" s="4"/>
      <c r="J60" s="4"/>
      <c r="K60" s="4"/>
    </row>
    <row r="61" spans="2:11" ht="15.75" thickBot="1">
      <c r="B61" s="1033"/>
      <c r="C61" s="890"/>
      <c r="D61" s="845" t="s">
        <v>16</v>
      </c>
      <c r="E61" s="126"/>
      <c r="F61" s="4"/>
      <c r="G61" s="4"/>
      <c r="H61" s="4"/>
      <c r="I61" s="4"/>
      <c r="J61" s="4"/>
      <c r="K61" s="4"/>
    </row>
    <row r="62" spans="2:11" ht="15.75" thickBot="1">
      <c r="B62" s="1033"/>
      <c r="C62" s="890"/>
      <c r="D62" s="845" t="s">
        <v>19</v>
      </c>
      <c r="E62" s="126"/>
      <c r="F62" s="4"/>
      <c r="G62" s="4"/>
      <c r="H62" s="4"/>
      <c r="I62" s="4"/>
      <c r="J62" s="4"/>
      <c r="K62" s="4"/>
    </row>
    <row r="63" spans="2:11" ht="15.75" thickBot="1">
      <c r="B63" s="1034"/>
      <c r="C63" s="857"/>
      <c r="D63" s="845" t="s">
        <v>1516</v>
      </c>
      <c r="E63" s="126"/>
      <c r="F63" s="4"/>
      <c r="G63" s="4"/>
      <c r="H63" s="4"/>
      <c r="I63" s="4"/>
      <c r="J63" s="4"/>
      <c r="K63" s="4"/>
    </row>
    <row r="64" spans="2:11" ht="15.75" thickBot="1">
      <c r="B64" s="1"/>
      <c r="C64" s="55"/>
      <c r="D64" s="4"/>
      <c r="E64" s="4"/>
      <c r="F64" s="4"/>
      <c r="G64" s="4"/>
      <c r="H64" s="4"/>
      <c r="I64" s="4"/>
      <c r="J64" s="4"/>
      <c r="K64" s="4"/>
    </row>
    <row r="65" spans="2:11" ht="15" customHeight="1" thickBot="1">
      <c r="B65" s="846" t="s">
        <v>1521</v>
      </c>
      <c r="C65" s="847"/>
      <c r="D65" s="847"/>
      <c r="E65" s="848"/>
      <c r="G65" s="4"/>
      <c r="H65" s="4"/>
      <c r="I65" s="4"/>
      <c r="J65" s="4"/>
      <c r="K65" s="4"/>
    </row>
    <row r="66" spans="2:11" ht="24.75" thickBot="1">
      <c r="B66" s="839" t="s">
        <v>1522</v>
      </c>
      <c r="C66" s="845" t="s">
        <v>1523</v>
      </c>
      <c r="D66" s="845" t="s">
        <v>1524</v>
      </c>
      <c r="E66" s="845" t="s">
        <v>1525</v>
      </c>
      <c r="F66" s="4"/>
      <c r="G66" s="4"/>
      <c r="H66" s="4"/>
      <c r="I66" s="4"/>
      <c r="J66" s="4"/>
    </row>
    <row r="67" spans="2:11" ht="72.75" thickBot="1">
      <c r="B67" s="38">
        <v>42401</v>
      </c>
      <c r="C67" s="845">
        <v>0.01</v>
      </c>
      <c r="D67" s="837" t="s">
        <v>2422</v>
      </c>
      <c r="E67" s="845"/>
      <c r="F67" s="4"/>
      <c r="G67" s="4"/>
      <c r="H67" s="4"/>
      <c r="I67" s="4"/>
      <c r="J67" s="4"/>
    </row>
    <row r="68" spans="2:11" ht="15.75" thickBot="1">
      <c r="B68" s="2"/>
      <c r="C68" s="70"/>
      <c r="D68" s="4"/>
      <c r="E68" s="4"/>
      <c r="F68" s="4"/>
      <c r="G68" s="4"/>
      <c r="H68" s="4"/>
      <c r="I68" s="4"/>
      <c r="J68" s="4"/>
      <c r="K68" s="4"/>
    </row>
    <row r="69" spans="2:11" ht="15.75" thickBot="1">
      <c r="B69" s="283" t="s">
        <v>1406</v>
      </c>
      <c r="C69" s="705"/>
      <c r="D69" s="4"/>
      <c r="E69" s="4"/>
      <c r="F69" s="4"/>
      <c r="G69" s="4"/>
      <c r="H69" s="4"/>
      <c r="I69" s="4"/>
      <c r="J69" s="4"/>
      <c r="K69" s="4"/>
    </row>
    <row r="70" spans="2:11">
      <c r="B70" s="1211"/>
      <c r="C70" s="1212"/>
      <c r="D70" s="1212"/>
      <c r="E70" s="1213"/>
      <c r="F70" s="4"/>
      <c r="G70" s="4"/>
      <c r="H70" s="4"/>
      <c r="I70" s="4"/>
      <c r="J70" s="4"/>
      <c r="K70" s="4"/>
    </row>
    <row r="71" spans="2:11" ht="15.75" thickBot="1">
      <c r="B71" s="1214"/>
      <c r="C71" s="1215"/>
      <c r="D71" s="1215"/>
      <c r="E71" s="1216"/>
      <c r="F71" s="4"/>
      <c r="G71" s="4"/>
      <c r="H71" s="4"/>
      <c r="I71" s="4"/>
      <c r="J71" s="4"/>
      <c r="K71" s="4"/>
    </row>
    <row r="72" spans="2:11">
      <c r="B72" s="1"/>
      <c r="C72" s="55"/>
      <c r="D72" s="4"/>
      <c r="E72" s="4"/>
      <c r="F72" s="4"/>
      <c r="G72" s="4"/>
      <c r="H72" s="4"/>
      <c r="I72" s="4"/>
      <c r="J72" s="4"/>
      <c r="K72" s="4"/>
    </row>
    <row r="73" spans="2:11" ht="15.75" thickBot="1">
      <c r="B73" s="4"/>
      <c r="D73" s="4"/>
      <c r="E73" s="4"/>
      <c r="F73" s="4"/>
      <c r="G73" s="4"/>
      <c r="H73" s="4"/>
      <c r="I73" s="4"/>
      <c r="J73" s="4"/>
      <c r="K73" s="4"/>
    </row>
    <row r="74" spans="2:11" ht="24.75" thickBot="1">
      <c r="B74" s="39" t="s">
        <v>1527</v>
      </c>
      <c r="C74" s="708"/>
      <c r="D74" s="4"/>
      <c r="E74" s="4"/>
      <c r="F74" s="4"/>
      <c r="G74" s="4"/>
      <c r="H74" s="4"/>
      <c r="I74" s="4"/>
      <c r="J74" s="4"/>
      <c r="K74" s="4"/>
    </row>
    <row r="75" spans="2:11" ht="15.75" thickBot="1">
      <c r="B75" s="31"/>
      <c r="C75" s="64"/>
      <c r="D75" s="4"/>
      <c r="E75" s="4"/>
      <c r="F75" s="4"/>
      <c r="G75" s="4"/>
      <c r="H75" s="4"/>
      <c r="I75" s="4"/>
      <c r="J75" s="4"/>
      <c r="K75" s="4"/>
    </row>
    <row r="76" spans="2:11" ht="48.75" thickBot="1">
      <c r="B76" s="40" t="s">
        <v>1528</v>
      </c>
      <c r="C76" s="878"/>
      <c r="D76" s="842" t="s">
        <v>2423</v>
      </c>
      <c r="E76" s="4"/>
      <c r="F76" s="4"/>
      <c r="G76" s="4"/>
      <c r="H76" s="4"/>
      <c r="I76" s="4"/>
      <c r="J76" s="4"/>
      <c r="K76" s="4"/>
    </row>
    <row r="77" spans="2:11">
      <c r="B77" s="1032" t="s">
        <v>1530</v>
      </c>
      <c r="C77" s="890"/>
      <c r="D77" s="836" t="s">
        <v>1531</v>
      </c>
      <c r="E77" s="4"/>
      <c r="F77" s="4"/>
      <c r="G77" s="4"/>
      <c r="H77" s="4"/>
      <c r="I77" s="4"/>
      <c r="J77" s="4"/>
      <c r="K77" s="4"/>
    </row>
    <row r="78" spans="2:11" ht="108">
      <c r="B78" s="1033"/>
      <c r="C78" s="890"/>
      <c r="D78" s="829" t="s">
        <v>2424</v>
      </c>
      <c r="E78" s="4"/>
      <c r="F78" s="4"/>
      <c r="G78" s="4"/>
      <c r="H78" s="4"/>
      <c r="I78" s="4"/>
      <c r="J78" s="4"/>
      <c r="K78" s="4"/>
    </row>
    <row r="79" spans="2:11">
      <c r="B79" s="1033"/>
      <c r="C79" s="890"/>
      <c r="D79" s="829" t="s">
        <v>2425</v>
      </c>
      <c r="E79" s="4"/>
      <c r="F79" s="4"/>
      <c r="G79" s="4"/>
      <c r="H79" s="4"/>
      <c r="I79" s="4"/>
      <c r="J79" s="4"/>
      <c r="K79" s="4"/>
    </row>
    <row r="80" spans="2:11" ht="24">
      <c r="B80" s="1033"/>
      <c r="C80" s="890"/>
      <c r="D80" s="829" t="s">
        <v>2426</v>
      </c>
      <c r="E80" s="4"/>
      <c r="F80" s="4"/>
      <c r="G80" s="4"/>
      <c r="H80" s="4"/>
      <c r="I80" s="4"/>
      <c r="J80" s="4"/>
      <c r="K80" s="4"/>
    </row>
    <row r="81" spans="2:11" ht="24">
      <c r="B81" s="1033"/>
      <c r="C81" s="890"/>
      <c r="D81" s="829" t="s">
        <v>2427</v>
      </c>
      <c r="E81" s="4"/>
      <c r="F81" s="4"/>
      <c r="G81" s="4"/>
      <c r="H81" s="4"/>
      <c r="I81" s="4"/>
      <c r="J81" s="4"/>
      <c r="K81" s="4"/>
    </row>
    <row r="82" spans="2:11">
      <c r="B82" s="1033"/>
      <c r="C82" s="890"/>
      <c r="D82" s="836" t="s">
        <v>1797</v>
      </c>
      <c r="E82" s="4"/>
      <c r="F82" s="4"/>
      <c r="G82" s="4"/>
      <c r="H82" s="4"/>
      <c r="I82" s="4"/>
      <c r="J82" s="4"/>
      <c r="K82" s="4"/>
    </row>
    <row r="83" spans="2:11" ht="24">
      <c r="B83" s="1033"/>
      <c r="C83" s="890"/>
      <c r="D83" s="829" t="s">
        <v>2428</v>
      </c>
      <c r="E83" s="4"/>
      <c r="F83" s="4"/>
      <c r="G83" s="4"/>
      <c r="H83" s="4"/>
      <c r="I83" s="4"/>
      <c r="J83" s="4"/>
      <c r="K83" s="4"/>
    </row>
    <row r="84" spans="2:11">
      <c r="B84" s="1033"/>
      <c r="C84" s="890"/>
      <c r="D84" s="829" t="s">
        <v>2429</v>
      </c>
      <c r="E84" s="4"/>
      <c r="F84" s="4"/>
      <c r="G84" s="4"/>
      <c r="H84" s="4"/>
      <c r="I84" s="4"/>
      <c r="J84" s="4"/>
      <c r="K84" s="4"/>
    </row>
    <row r="85" spans="2:11" ht="36">
      <c r="B85" s="1033"/>
      <c r="C85" s="890"/>
      <c r="D85" s="829" t="s">
        <v>2430</v>
      </c>
      <c r="E85" s="4"/>
      <c r="F85" s="4"/>
      <c r="G85" s="4"/>
      <c r="H85" s="4"/>
      <c r="I85" s="4"/>
      <c r="J85" s="4"/>
      <c r="K85" s="4"/>
    </row>
    <row r="86" spans="2:11" ht="36">
      <c r="B86" s="1033"/>
      <c r="C86" s="890"/>
      <c r="D86" s="829" t="s">
        <v>2431</v>
      </c>
      <c r="E86" s="4"/>
      <c r="F86" s="4"/>
      <c r="G86" s="4"/>
      <c r="H86" s="4"/>
      <c r="I86" s="4"/>
      <c r="J86" s="4"/>
      <c r="K86" s="4"/>
    </row>
    <row r="87" spans="2:11" ht="24">
      <c r="B87" s="1033"/>
      <c r="C87" s="890"/>
      <c r="D87" s="829" t="s">
        <v>2432</v>
      </c>
      <c r="E87" s="4"/>
      <c r="F87" s="4"/>
      <c r="G87" s="4"/>
      <c r="H87" s="4"/>
      <c r="I87" s="4"/>
      <c r="J87" s="4"/>
      <c r="K87" s="4"/>
    </row>
    <row r="88" spans="2:11" ht="48">
      <c r="B88" s="1033"/>
      <c r="C88" s="890"/>
      <c r="D88" s="829" t="s">
        <v>2433</v>
      </c>
      <c r="E88" s="4"/>
      <c r="F88" s="4"/>
      <c r="G88" s="4"/>
      <c r="H88" s="4"/>
      <c r="I88" s="4"/>
      <c r="J88" s="4"/>
      <c r="K88" s="4"/>
    </row>
    <row r="89" spans="2:11" ht="36">
      <c r="B89" s="1033"/>
      <c r="C89" s="890"/>
      <c r="D89" s="829" t="s">
        <v>2434</v>
      </c>
      <c r="E89" s="4"/>
      <c r="F89" s="4"/>
      <c r="G89" s="4"/>
      <c r="H89" s="4"/>
      <c r="I89" s="4"/>
      <c r="J89" s="4"/>
      <c r="K89" s="4"/>
    </row>
    <row r="90" spans="2:11" ht="24">
      <c r="B90" s="1033"/>
      <c r="C90" s="890"/>
      <c r="D90" s="829" t="s">
        <v>2435</v>
      </c>
      <c r="E90" s="4"/>
      <c r="F90" s="4"/>
      <c r="G90" s="4"/>
      <c r="H90" s="4"/>
      <c r="I90" s="4"/>
      <c r="J90" s="4"/>
      <c r="K90" s="4"/>
    </row>
    <row r="91" spans="2:11" ht="24">
      <c r="B91" s="1033"/>
      <c r="C91" s="890"/>
      <c r="D91" s="829" t="s">
        <v>2436</v>
      </c>
      <c r="E91" s="4"/>
      <c r="F91" s="4"/>
      <c r="G91" s="4"/>
      <c r="H91" s="4"/>
      <c r="I91" s="4"/>
      <c r="J91" s="4"/>
      <c r="K91" s="4"/>
    </row>
    <row r="92" spans="2:11" ht="60.75" thickBot="1">
      <c r="B92" s="1034"/>
      <c r="C92" s="857"/>
      <c r="D92" s="43" t="s">
        <v>2437</v>
      </c>
      <c r="E92" s="4"/>
      <c r="F92" s="4"/>
      <c r="G92" s="4"/>
      <c r="H92" s="4"/>
      <c r="I92" s="4"/>
      <c r="J92" s="4"/>
      <c r="K92" s="4"/>
    </row>
    <row r="93" spans="2:11">
      <c r="B93" s="1032" t="s">
        <v>1543</v>
      </c>
      <c r="C93" s="854"/>
      <c r="D93" s="1032"/>
      <c r="E93" s="4"/>
      <c r="F93" s="4"/>
      <c r="G93" s="4"/>
      <c r="H93" s="4"/>
      <c r="I93" s="4"/>
      <c r="J93" s="4"/>
      <c r="K93" s="4"/>
    </row>
    <row r="94" spans="2:11" ht="15.75" thickBot="1">
      <c r="B94" s="1034"/>
      <c r="C94" s="855"/>
      <c r="D94" s="1034"/>
      <c r="E94" s="4"/>
      <c r="F94" s="4"/>
      <c r="G94" s="4"/>
      <c r="H94" s="4"/>
      <c r="I94" s="4"/>
      <c r="J94" s="4"/>
      <c r="K94" s="4"/>
    </row>
    <row r="95" spans="2:11" ht="144">
      <c r="B95" s="1032" t="s">
        <v>1544</v>
      </c>
      <c r="C95" s="890"/>
      <c r="D95" s="829" t="s">
        <v>2438</v>
      </c>
      <c r="E95" s="4"/>
      <c r="F95" s="4"/>
      <c r="G95" s="4"/>
      <c r="H95" s="4"/>
      <c r="I95" s="4"/>
      <c r="J95" s="4"/>
      <c r="K95" s="4"/>
    </row>
    <row r="96" spans="2:11" ht="192">
      <c r="B96" s="1033"/>
      <c r="C96" s="890"/>
      <c r="D96" s="829" t="s">
        <v>2439</v>
      </c>
      <c r="E96" s="4"/>
      <c r="F96" s="4"/>
      <c r="G96" s="4"/>
      <c r="H96" s="4"/>
      <c r="I96" s="4"/>
      <c r="J96" s="4"/>
      <c r="K96" s="4"/>
    </row>
    <row r="97" spans="2:11" ht="36">
      <c r="B97" s="1033"/>
      <c r="C97" s="890"/>
      <c r="D97" s="829" t="s">
        <v>2440</v>
      </c>
      <c r="E97" s="4"/>
      <c r="F97" s="4"/>
      <c r="G97" s="4"/>
      <c r="H97" s="4"/>
      <c r="I97" s="4"/>
      <c r="J97" s="4"/>
      <c r="K97" s="4"/>
    </row>
    <row r="98" spans="2:11" ht="36">
      <c r="B98" s="1033"/>
      <c r="C98" s="890"/>
      <c r="D98" s="829" t="s">
        <v>2441</v>
      </c>
      <c r="E98" s="4"/>
      <c r="F98" s="4"/>
      <c r="G98" s="4"/>
      <c r="H98" s="4"/>
      <c r="I98" s="4"/>
      <c r="J98" s="4"/>
      <c r="K98" s="4"/>
    </row>
    <row r="99" spans="2:11" ht="36">
      <c r="B99" s="1033"/>
      <c r="C99" s="890"/>
      <c r="D99" s="829" t="s">
        <v>2442</v>
      </c>
      <c r="E99" s="4"/>
      <c r="F99" s="4"/>
      <c r="G99" s="4"/>
      <c r="H99" s="4"/>
      <c r="I99" s="4"/>
      <c r="J99" s="4"/>
      <c r="K99" s="4"/>
    </row>
    <row r="100" spans="2:11" ht="48">
      <c r="B100" s="1033"/>
      <c r="C100" s="890"/>
      <c r="D100" s="829" t="s">
        <v>2443</v>
      </c>
      <c r="E100" s="4"/>
      <c r="F100" s="4"/>
      <c r="G100" s="4"/>
      <c r="H100" s="4"/>
      <c r="I100" s="4"/>
      <c r="J100" s="4"/>
      <c r="K100" s="4"/>
    </row>
    <row r="101" spans="2:11" ht="48">
      <c r="B101" s="1033"/>
      <c r="C101" s="890"/>
      <c r="D101" s="829" t="s">
        <v>2444</v>
      </c>
      <c r="E101" s="4"/>
      <c r="F101" s="4"/>
      <c r="G101" s="4"/>
      <c r="H101" s="4"/>
      <c r="I101" s="4"/>
      <c r="J101" s="4"/>
      <c r="K101" s="4"/>
    </row>
    <row r="102" spans="2:11" ht="36">
      <c r="B102" s="1033"/>
      <c r="C102" s="890"/>
      <c r="D102" s="851" t="s">
        <v>2445</v>
      </c>
      <c r="E102" s="4"/>
      <c r="F102" s="4"/>
      <c r="G102" s="4"/>
      <c r="H102" s="4"/>
      <c r="I102" s="4"/>
      <c r="J102" s="4"/>
      <c r="K102" s="4"/>
    </row>
    <row r="103" spans="2:11" ht="36">
      <c r="B103" s="1033"/>
      <c r="C103" s="890"/>
      <c r="D103" s="851" t="s">
        <v>2446</v>
      </c>
      <c r="E103" s="4"/>
      <c r="F103" s="4"/>
      <c r="G103" s="4"/>
      <c r="H103" s="4"/>
      <c r="I103" s="4"/>
      <c r="J103" s="4"/>
      <c r="K103" s="4"/>
    </row>
    <row r="104" spans="2:11" ht="24">
      <c r="B104" s="1033"/>
      <c r="C104" s="890"/>
      <c r="D104" s="851" t="s">
        <v>2447</v>
      </c>
      <c r="E104" s="4"/>
      <c r="F104" s="4"/>
      <c r="G104" s="4"/>
      <c r="H104" s="4"/>
      <c r="I104" s="4"/>
      <c r="J104" s="4"/>
      <c r="K104" s="4"/>
    </row>
    <row r="105" spans="2:11" ht="24">
      <c r="B105" s="1033"/>
      <c r="C105" s="890"/>
      <c r="D105" s="851" t="s">
        <v>2448</v>
      </c>
      <c r="E105" s="4"/>
      <c r="F105" s="4"/>
      <c r="G105" s="4"/>
      <c r="H105" s="4"/>
      <c r="I105" s="4"/>
      <c r="J105" s="4"/>
      <c r="K105" s="4"/>
    </row>
    <row r="106" spans="2:11" ht="60">
      <c r="B106" s="1033"/>
      <c r="C106" s="890"/>
      <c r="D106" s="851" t="s">
        <v>2449</v>
      </c>
      <c r="E106" s="4"/>
      <c r="F106" s="4"/>
      <c r="G106" s="4"/>
      <c r="H106" s="4"/>
      <c r="I106" s="4"/>
      <c r="J106" s="4"/>
      <c r="K106" s="4"/>
    </row>
    <row r="107" spans="2:11" ht="36">
      <c r="B107" s="1033"/>
      <c r="C107" s="890"/>
      <c r="D107" s="851" t="s">
        <v>2450</v>
      </c>
      <c r="E107" s="4"/>
      <c r="F107" s="4"/>
      <c r="G107" s="4"/>
      <c r="H107" s="4"/>
      <c r="I107" s="4"/>
      <c r="J107" s="4"/>
      <c r="K107" s="4"/>
    </row>
    <row r="108" spans="2:11" ht="36">
      <c r="B108" s="1033"/>
      <c r="C108" s="890"/>
      <c r="D108" s="851" t="s">
        <v>2451</v>
      </c>
      <c r="E108" s="4"/>
      <c r="F108" s="4"/>
      <c r="G108" s="4"/>
      <c r="H108" s="4"/>
      <c r="I108" s="4"/>
      <c r="J108" s="4"/>
      <c r="K108" s="4"/>
    </row>
    <row r="109" spans="2:11" ht="60">
      <c r="B109" s="1033"/>
      <c r="C109" s="890"/>
      <c r="D109" s="851" t="s">
        <v>2452</v>
      </c>
      <c r="E109" s="4"/>
      <c r="F109" s="4"/>
      <c r="G109" s="4"/>
      <c r="H109" s="4"/>
      <c r="I109" s="4"/>
      <c r="J109" s="4"/>
      <c r="K109" s="4"/>
    </row>
    <row r="110" spans="2:11" ht="24">
      <c r="B110" s="1033"/>
      <c r="C110" s="890"/>
      <c r="D110" s="851" t="s">
        <v>2453</v>
      </c>
      <c r="E110" s="4"/>
      <c r="F110" s="4"/>
      <c r="G110" s="4"/>
      <c r="H110" s="4"/>
      <c r="I110" s="4"/>
      <c r="J110" s="4"/>
      <c r="K110" s="4"/>
    </row>
    <row r="111" spans="2:11" ht="24">
      <c r="B111" s="1033"/>
      <c r="C111" s="890"/>
      <c r="D111" s="851" t="s">
        <v>2454</v>
      </c>
      <c r="E111" s="4"/>
      <c r="F111" s="4"/>
      <c r="G111" s="4"/>
      <c r="H111" s="4"/>
      <c r="I111" s="4"/>
      <c r="J111" s="4"/>
      <c r="K111" s="4"/>
    </row>
    <row r="112" spans="2:11">
      <c r="B112" s="1033"/>
      <c r="C112" s="890"/>
      <c r="D112" s="851" t="s">
        <v>2455</v>
      </c>
      <c r="E112" s="4"/>
      <c r="F112" s="4"/>
      <c r="G112" s="4"/>
      <c r="H112" s="4"/>
      <c r="I112" s="4"/>
      <c r="J112" s="4"/>
      <c r="K112" s="4"/>
    </row>
    <row r="113" spans="2:11" ht="36">
      <c r="B113" s="1033"/>
      <c r="C113" s="890"/>
      <c r="D113" s="851" t="s">
        <v>2456</v>
      </c>
      <c r="E113" s="4"/>
      <c r="F113" s="4"/>
      <c r="G113" s="4"/>
      <c r="H113" s="4"/>
      <c r="I113" s="4"/>
      <c r="J113" s="4"/>
      <c r="K113" s="4"/>
    </row>
    <row r="114" spans="2:11" ht="36">
      <c r="B114" s="1033"/>
      <c r="C114" s="890"/>
      <c r="D114" s="851" t="s">
        <v>2457</v>
      </c>
      <c r="E114" s="4"/>
      <c r="F114" s="4"/>
      <c r="G114" s="4"/>
      <c r="H114" s="4"/>
      <c r="I114" s="4"/>
      <c r="J114" s="4"/>
      <c r="K114" s="4"/>
    </row>
    <row r="115" spans="2:11" ht="36">
      <c r="B115" s="1033"/>
      <c r="C115" s="890"/>
      <c r="D115" s="851" t="s">
        <v>2458</v>
      </c>
      <c r="E115" s="4"/>
      <c r="F115" s="4"/>
      <c r="G115" s="4"/>
      <c r="H115" s="4"/>
      <c r="I115" s="4"/>
      <c r="J115" s="4"/>
      <c r="K115" s="4"/>
    </row>
    <row r="116" spans="2:11" ht="252">
      <c r="B116" s="1033"/>
      <c r="C116" s="890"/>
      <c r="D116" s="829" t="s">
        <v>2459</v>
      </c>
      <c r="E116" s="4"/>
      <c r="F116" s="4"/>
      <c r="G116" s="4"/>
      <c r="H116" s="4"/>
      <c r="I116" s="4"/>
      <c r="J116" s="4"/>
      <c r="K116" s="4"/>
    </row>
    <row r="117" spans="2:11" ht="60.75" thickBot="1">
      <c r="B117" s="1034"/>
      <c r="C117" s="857"/>
      <c r="D117" s="845" t="s">
        <v>2460</v>
      </c>
      <c r="E117" s="4"/>
      <c r="F117" s="4"/>
      <c r="G117" s="4"/>
      <c r="H117" s="4"/>
      <c r="I117" s="4"/>
      <c r="J117" s="4"/>
      <c r="K117" s="4"/>
    </row>
    <row r="118" spans="2:11" ht="24">
      <c r="B118" s="1032" t="s">
        <v>1561</v>
      </c>
      <c r="C118" s="890"/>
      <c r="D118" s="836" t="s">
        <v>755</v>
      </c>
      <c r="E118" s="4"/>
      <c r="F118" s="4"/>
      <c r="G118" s="4"/>
      <c r="H118" s="4"/>
      <c r="I118" s="4"/>
      <c r="J118" s="4"/>
      <c r="K118" s="4"/>
    </row>
    <row r="119" spans="2:11" ht="20.45" customHeight="1">
      <c r="B119" s="1033"/>
      <c r="C119" s="890"/>
      <c r="D119" s="826"/>
      <c r="E119" s="4"/>
      <c r="F119" s="4"/>
      <c r="G119" s="4"/>
      <c r="H119" s="4"/>
      <c r="I119" s="4"/>
      <c r="J119" s="4"/>
      <c r="K119" s="4"/>
    </row>
    <row r="120" spans="2:11">
      <c r="B120" s="1033"/>
      <c r="C120" s="890"/>
      <c r="D120" s="829" t="s">
        <v>1562</v>
      </c>
      <c r="E120" s="4"/>
      <c r="F120" s="4"/>
      <c r="G120" s="4"/>
      <c r="H120" s="4"/>
      <c r="I120" s="4"/>
      <c r="J120" s="4"/>
      <c r="K120" s="4"/>
    </row>
    <row r="121" spans="2:11" ht="37.5">
      <c r="B121" s="1033"/>
      <c r="C121" s="890"/>
      <c r="D121" s="829" t="s">
        <v>2461</v>
      </c>
      <c r="E121" s="4"/>
      <c r="F121" s="4"/>
      <c r="G121" s="4"/>
      <c r="H121" s="4"/>
      <c r="I121" s="4"/>
      <c r="J121" s="4"/>
      <c r="K121" s="4"/>
    </row>
    <row r="122" spans="2:11" ht="37.5">
      <c r="B122" s="1033"/>
      <c r="C122" s="890"/>
      <c r="D122" s="829" t="s">
        <v>2462</v>
      </c>
      <c r="E122" s="4"/>
      <c r="F122" s="4"/>
      <c r="G122" s="4"/>
      <c r="H122" s="4"/>
      <c r="I122" s="4"/>
      <c r="J122" s="4"/>
      <c r="K122" s="4"/>
    </row>
    <row r="123" spans="2:11" ht="37.5">
      <c r="B123" s="1033"/>
      <c r="C123" s="890"/>
      <c r="D123" s="829" t="s">
        <v>2463</v>
      </c>
      <c r="E123" s="4"/>
      <c r="F123" s="4"/>
      <c r="G123" s="4"/>
      <c r="H123" s="4"/>
      <c r="I123" s="4"/>
      <c r="J123" s="4"/>
      <c r="K123" s="4"/>
    </row>
    <row r="124" spans="2:11" ht="37.5">
      <c r="B124" s="1033"/>
      <c r="C124" s="890"/>
      <c r="D124" s="829" t="s">
        <v>2464</v>
      </c>
      <c r="E124" s="4"/>
      <c r="F124" s="4"/>
      <c r="G124" s="4"/>
      <c r="H124" s="4"/>
      <c r="I124" s="4"/>
      <c r="J124" s="4"/>
      <c r="K124" s="4"/>
    </row>
    <row r="125" spans="2:11">
      <c r="B125" s="1033"/>
      <c r="C125" s="890"/>
      <c r="D125" s="829" t="s">
        <v>2465</v>
      </c>
      <c r="E125" s="4"/>
      <c r="F125" s="4"/>
      <c r="G125" s="4"/>
      <c r="H125" s="4"/>
      <c r="I125" s="4"/>
      <c r="J125" s="4"/>
      <c r="K125" s="4"/>
    </row>
    <row r="126" spans="2:11">
      <c r="B126" s="1033"/>
      <c r="C126" s="890"/>
      <c r="D126" s="829" t="s">
        <v>2466</v>
      </c>
      <c r="E126" s="4"/>
      <c r="F126" s="4"/>
      <c r="G126" s="4"/>
      <c r="H126" s="4"/>
      <c r="I126" s="4"/>
      <c r="J126" s="4"/>
      <c r="K126" s="4"/>
    </row>
    <row r="127" spans="2:11">
      <c r="B127" s="1033"/>
      <c r="C127" s="890"/>
      <c r="D127" s="829" t="s">
        <v>2467</v>
      </c>
      <c r="E127" s="4"/>
      <c r="F127" s="4"/>
      <c r="G127" s="4"/>
      <c r="H127" s="4"/>
      <c r="I127" s="4"/>
      <c r="J127" s="4"/>
      <c r="K127" s="4"/>
    </row>
    <row r="128" spans="2:11">
      <c r="B128" s="1033"/>
      <c r="C128" s="890"/>
      <c r="D128" s="829" t="s">
        <v>2468</v>
      </c>
      <c r="E128" s="4"/>
      <c r="F128" s="4"/>
      <c r="G128" s="4"/>
      <c r="H128" s="4"/>
      <c r="I128" s="4"/>
      <c r="J128" s="4"/>
      <c r="K128" s="4"/>
    </row>
    <row r="129" spans="2:11" ht="84">
      <c r="B129" s="1033"/>
      <c r="C129" s="890"/>
      <c r="D129" s="41" t="s">
        <v>1762</v>
      </c>
      <c r="E129" s="4"/>
      <c r="F129" s="4"/>
      <c r="G129" s="4"/>
      <c r="H129" s="4"/>
      <c r="I129" s="4"/>
      <c r="J129" s="4"/>
      <c r="K129" s="4"/>
    </row>
    <row r="130" spans="2:11">
      <c r="B130" s="1033"/>
      <c r="C130" s="890"/>
      <c r="D130" s="829" t="s">
        <v>1726</v>
      </c>
      <c r="E130" s="4"/>
      <c r="F130" s="4"/>
      <c r="G130" s="4"/>
      <c r="H130" s="4"/>
      <c r="I130" s="4"/>
      <c r="J130" s="4"/>
      <c r="K130" s="4"/>
    </row>
    <row r="131" spans="2:11" ht="48">
      <c r="B131" s="1033"/>
      <c r="C131" s="890"/>
      <c r="D131" s="836" t="s">
        <v>2469</v>
      </c>
      <c r="E131" s="4"/>
      <c r="F131" s="4"/>
      <c r="G131" s="4"/>
      <c r="H131" s="4"/>
      <c r="I131" s="4"/>
      <c r="J131" s="4"/>
      <c r="K131" s="4"/>
    </row>
    <row r="132" spans="2:11">
      <c r="B132" s="1033"/>
      <c r="C132" s="890"/>
      <c r="D132" s="826"/>
      <c r="E132" s="4"/>
      <c r="F132" s="4"/>
      <c r="G132" s="4"/>
      <c r="H132" s="4"/>
      <c r="I132" s="4"/>
      <c r="J132" s="4"/>
      <c r="K132" s="4"/>
    </row>
    <row r="133" spans="2:11">
      <c r="B133" s="1033"/>
      <c r="C133" s="890"/>
      <c r="D133" s="829" t="s">
        <v>1562</v>
      </c>
      <c r="E133" s="4"/>
      <c r="F133" s="4"/>
      <c r="G133" s="4"/>
      <c r="H133" s="4"/>
      <c r="I133" s="4"/>
      <c r="J133" s="4"/>
      <c r="K133" s="4"/>
    </row>
    <row r="134" spans="2:11" ht="49.5">
      <c r="B134" s="1033"/>
      <c r="C134" s="890"/>
      <c r="D134" s="829" t="s">
        <v>2470</v>
      </c>
      <c r="E134" s="4"/>
      <c r="F134" s="4"/>
      <c r="G134" s="4"/>
      <c r="H134" s="4"/>
      <c r="I134" s="4"/>
      <c r="J134" s="4"/>
      <c r="K134" s="4"/>
    </row>
    <row r="135" spans="2:11" ht="49.5">
      <c r="B135" s="1033"/>
      <c r="C135" s="890"/>
      <c r="D135" s="829" t="s">
        <v>2471</v>
      </c>
      <c r="E135" s="4"/>
      <c r="F135" s="4"/>
      <c r="G135" s="4"/>
      <c r="H135" s="4"/>
      <c r="I135" s="4"/>
      <c r="J135" s="4"/>
      <c r="K135" s="4"/>
    </row>
    <row r="136" spans="2:11" ht="38.25" thickBot="1">
      <c r="B136" s="1034"/>
      <c r="C136" s="857"/>
      <c r="D136" s="845" t="s">
        <v>2472</v>
      </c>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sheetData>
  <mergeCells count="38">
    <mergeCell ref="L24:L27"/>
    <mergeCell ref="A1:P1"/>
    <mergeCell ref="A2:P2"/>
    <mergeCell ref="A3:P3"/>
    <mergeCell ref="A4:D4"/>
    <mergeCell ref="A5:P5"/>
    <mergeCell ref="B15:B19"/>
    <mergeCell ref="D21:L21"/>
    <mergeCell ref="D22:D23"/>
    <mergeCell ref="E22:E23"/>
    <mergeCell ref="F22:G22"/>
    <mergeCell ref="H22:K22"/>
    <mergeCell ref="D15:L15"/>
    <mergeCell ref="D20:L20"/>
    <mergeCell ref="B10:D10"/>
    <mergeCell ref="F10:S10"/>
    <mergeCell ref="F33:G33"/>
    <mergeCell ref="H33:H35"/>
    <mergeCell ref="E34:E35"/>
    <mergeCell ref="F34:F35"/>
    <mergeCell ref="D31:L31"/>
    <mergeCell ref="D32:L32"/>
    <mergeCell ref="F11:S11"/>
    <mergeCell ref="E12:R12"/>
    <mergeCell ref="E13:R13"/>
    <mergeCell ref="B118:B136"/>
    <mergeCell ref="B70:E71"/>
    <mergeCell ref="C22:C23"/>
    <mergeCell ref="B77:B92"/>
    <mergeCell ref="B93:B94"/>
    <mergeCell ref="D93:D94"/>
    <mergeCell ref="B95:B117"/>
    <mergeCell ref="C33:C35"/>
    <mergeCell ref="D33:D35"/>
    <mergeCell ref="B47:E47"/>
    <mergeCell ref="B48:B54"/>
    <mergeCell ref="B56:E56"/>
    <mergeCell ref="B57:B63"/>
  </mergeCells>
  <conditionalFormatting sqref="D42">
    <cfRule type="containsText" dxfId="47" priority="5" operator="containsText" text="ERROR">
      <formula>NOT(ISERROR(SEARCH("ERROR",D42)))</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E12:R12">
    <cfRule type="expression" dxfId="4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C00-000000000000}">
      <formula1>0</formula1>
    </dataValidation>
    <dataValidation type="whole" operator="greaterThanOrEqual" allowBlank="1" showInputMessage="1" showErrorMessage="1" errorTitle="ERROR" error="Valor en PESOS (sin centavos)" sqref="E18:H19 H24:K29" xr:uid="{00000000-0002-0000-1C00-000001000000}">
      <formula1>0</formula1>
    </dataValidation>
    <dataValidation type="decimal" allowBlank="1" showInputMessage="1" showErrorMessage="1" errorTitle="ERROR" error="Escriba un valor entre 0% y 100%" sqref="F24:G29 E36:E41" xr:uid="{00000000-0002-0000-1C00-000002000000}">
      <formula1>0</formula1>
      <formula2>1</formula2>
    </dataValidation>
    <dataValidation allowBlank="1" showInputMessage="1" showErrorMessage="1" sqref="H30:K30 F36:G42 D42:E42" xr:uid="{00000000-0002-0000-1C00-000003000000}"/>
    <dataValidation type="list" allowBlank="1" showInputMessage="1" showErrorMessage="1" sqref="E11" xr:uid="{00000000-0002-0000-1C00-000004000000}">
      <formula1>REPORTE</formula1>
    </dataValidation>
    <dataValidation type="list" allowBlank="1" showInputMessage="1" showErrorMessage="1" sqref="E10" xr:uid="{00000000-0002-0000-1C00-000005000000}">
      <formula1>SI</formula1>
    </dataValidation>
  </dataValidations>
  <hyperlinks>
    <hyperlink ref="D92" r:id="rId1" xr:uid="{00000000-0004-0000-1C00-000000000000}"/>
    <hyperlink ref="B9" location="'ANEXO 3'!A1" display="VOLVER AL INDICE" xr:uid="{00000000-0004-0000-1C00-000001000000}"/>
    <hyperlink ref="E52" r:id="rId2" xr:uid="{00000000-0004-0000-1C00-000002000000}"/>
  </hyperlinks>
  <pageMargins left="0.25" right="0.25" top="0.75" bottom="0.75" header="0.3" footer="0.3"/>
  <pageSetup paperSize="178" orientation="landscape" horizontalDpi="1200" verticalDpi="1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
  <sheetViews>
    <sheetView workbookViewId="0">
      <selection activeCell="E1" sqref="E1"/>
    </sheetView>
  </sheetViews>
  <sheetFormatPr defaultColWidth="11.42578125" defaultRowHeight="12.75"/>
  <cols>
    <col min="1" max="1" width="26.42578125" style="466" customWidth="1"/>
    <col min="2" max="16384" width="11.42578125" style="466"/>
  </cols>
  <sheetData>
    <row r="1" spans="1:2">
      <c r="A1" s="466" t="s">
        <v>726</v>
      </c>
      <c r="B1" s="467" t="s">
        <v>727</v>
      </c>
    </row>
    <row r="2" spans="1:2">
      <c r="A2" s="466" t="s">
        <v>728</v>
      </c>
      <c r="B2" s="467" t="s">
        <v>729</v>
      </c>
    </row>
    <row r="3" spans="1:2">
      <c r="A3" s="466" t="s">
        <v>730</v>
      </c>
      <c r="B3" s="467" t="s">
        <v>731</v>
      </c>
    </row>
    <row r="4" spans="1:2">
      <c r="A4" s="466" t="s">
        <v>732</v>
      </c>
      <c r="B4" s="467" t="s">
        <v>733</v>
      </c>
    </row>
    <row r="5" spans="1:2">
      <c r="A5" s="466" t="s">
        <v>734</v>
      </c>
      <c r="B5" s="467" t="s">
        <v>735</v>
      </c>
    </row>
    <row r="6" spans="1:2">
      <c r="A6" s="466" t="s">
        <v>736</v>
      </c>
      <c r="B6" s="467" t="s">
        <v>737</v>
      </c>
    </row>
    <row r="7" spans="1:2">
      <c r="A7" s="466" t="s">
        <v>738</v>
      </c>
      <c r="B7" s="467" t="s">
        <v>739</v>
      </c>
    </row>
    <row r="8" spans="1:2">
      <c r="A8" s="466" t="s">
        <v>740</v>
      </c>
      <c r="B8" s="467" t="s">
        <v>741</v>
      </c>
    </row>
    <row r="9" spans="1:2">
      <c r="A9" s="466" t="s">
        <v>742</v>
      </c>
      <c r="B9" s="467" t="s">
        <v>743</v>
      </c>
    </row>
    <row r="10" spans="1:2">
      <c r="A10" s="466" t="s">
        <v>744</v>
      </c>
      <c r="B10" s="467" t="s">
        <v>745</v>
      </c>
    </row>
    <row r="11" spans="1:2">
      <c r="B11" s="467" t="s">
        <v>746</v>
      </c>
    </row>
    <row r="12" spans="1:2">
      <c r="B12" s="467" t="s">
        <v>747</v>
      </c>
    </row>
    <row r="13" spans="1:2">
      <c r="B13" s="467" t="s">
        <v>748</v>
      </c>
    </row>
    <row r="14" spans="1:2">
      <c r="B14" s="467" t="s">
        <v>749</v>
      </c>
    </row>
    <row r="15" spans="1:2">
      <c r="B15" s="467" t="s">
        <v>750</v>
      </c>
    </row>
    <row r="16" spans="1:2">
      <c r="B16" s="467" t="s">
        <v>751</v>
      </c>
    </row>
    <row r="17" spans="2:2">
      <c r="B17" s="467" t="s">
        <v>752</v>
      </c>
    </row>
    <row r="18" spans="2:2">
      <c r="B18" s="467" t="s">
        <v>753</v>
      </c>
    </row>
    <row r="19" spans="2:2">
      <c r="B19" s="467" t="s">
        <v>754</v>
      </c>
    </row>
    <row r="20" spans="2:2">
      <c r="B20" s="467" t="s">
        <v>755</v>
      </c>
    </row>
    <row r="21" spans="2:2">
      <c r="B21" s="467" t="s">
        <v>756</v>
      </c>
    </row>
    <row r="22" spans="2:2">
      <c r="B22" s="467" t="s">
        <v>757</v>
      </c>
    </row>
    <row r="23" spans="2:2">
      <c r="B23" s="467" t="s">
        <v>758</v>
      </c>
    </row>
    <row r="24" spans="2:2">
      <c r="B24" s="467" t="s">
        <v>759</v>
      </c>
    </row>
    <row r="25" spans="2:2">
      <c r="B25" s="467" t="s">
        <v>760</v>
      </c>
    </row>
    <row r="26" spans="2:2">
      <c r="B26" s="467" t="s">
        <v>761</v>
      </c>
    </row>
    <row r="27" spans="2:2">
      <c r="B27" s="467" t="s">
        <v>762</v>
      </c>
    </row>
    <row r="28" spans="2:2">
      <c r="B28" s="466" t="s">
        <v>744</v>
      </c>
    </row>
  </sheetData>
  <hyperlinks>
    <hyperlink ref="B1" location="'1POMCAS'!A1" display="Porcentaje de avance en la formulación y/o ajuste de los Planes de Ordenación y Manejo de Cuencas (POMCAS), Planes de Manejo de Acuíferos (PMA) y Planes de Manejo de Microcuencas (PMM)" xr:uid="{00000000-0004-0000-0200-000000000000}"/>
    <hyperlink ref="B2" location="'2PORH'!A1" display="Porcentaje de cuerpos de agua con planes de ordenamiento del recurso hídrico (PORH) adoptados" xr:uid="{00000000-0004-0000-0200-000001000000}"/>
    <hyperlink ref="B3" location="'3PSMV'!_Toc467769470" display="Porcentaje de Planes de Saneamiento y Manejo de Vertimientos (PSMV) con seguimiento" xr:uid="{00000000-0004-0000-0200-000002000000}"/>
    <hyperlink ref="B4" location="'4UsoAguas'!_Toc467769471" display="Porcentaje de cuerpos de agua con reglamentación del uso de las aguas" xr:uid="{00000000-0004-0000-0200-000003000000}"/>
    <hyperlink ref="B5" location="'5PUEAA'!_Toc467769472" display="Porcentaje de Programas de Uso Eficiente y Ahorro del Agua (PUEAA) con seguimiento" xr:uid="{00000000-0004-0000-0200-000004000000}"/>
    <hyperlink ref="B6" location="'6POMCASejec'!_Toc467769473" display="Porcentaje de Planes de Ordenación y Manejo de Cuencas (POMCAS), Planes de Manejo de Acuíferos (PMA) y Planes de Manejo de Microcuencas (PMM) en ejecución" xr:uid="{00000000-0004-0000-02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200-000006000000}"/>
    <hyperlink ref="B8" location="'8Suelo'!_Toc467769475" display="Porcentaje de suelos degradados en recuperación o rehabilitación" xr:uid="{00000000-0004-0000-0200-000007000000}"/>
    <hyperlink ref="B9" location="'9RUNAP'!_Toc467769476" display="Porcentaje de la superficie de áreas protegidas regionales declaradas, homologadas o recategorizadas, inscritas en el RUNAP" xr:uid="{00000000-0004-0000-0200-000008000000}"/>
    <hyperlink ref="B10" location="'10Paramos'!_Toc467769477" display="Porcentaje de páramos delimitados por el MADS, con zonificación y régimen de usos adoptados por la CAR" xr:uid="{00000000-0004-0000-0200-000009000000}"/>
    <hyperlink ref="B11" location="'11Forest'!_Toc467769478" display="Porcentaje de avance en la formulación del Plan de Ordenación Forestal" xr:uid="{00000000-0004-0000-0200-00000A000000}"/>
    <hyperlink ref="B12" location="'12PlanesAP'!_Toc467769479" display="Porcentaje de áreas protegidas con planes de manejo en ejecución" xr:uid="{00000000-0004-0000-0200-00000B000000}"/>
    <hyperlink ref="B13" location="'13Amenaz'!_Toc467769480" display="Porcentaje de especies amenazadas con medidas de conservación y manejo en ejecución" xr:uid="{00000000-0004-0000-0200-00000C000000}"/>
    <hyperlink ref="B14" location="'14Invasor'!_Toc467769481" display="Porcentaje de especies invasoras con medidas de prevención, control y manejo en ejecución" xr:uid="{00000000-0004-0000-0200-00000D000000}"/>
    <hyperlink ref="B15" location="'15Restaura'!_Toc467769482" display="Porcentaje de áreas de ecosistemas en restauración, rehabilitación y reforestación" xr:uid="{00000000-0004-0000-0200-00000E000000}"/>
    <hyperlink ref="B16" location="'16MIZC'!_Toc467769483" display="Implementación de acciones en manejo integrado de zonas costeras" xr:uid="{00000000-0004-0000-0200-00000F000000}"/>
    <hyperlink ref="B17" location="'17PGIRS'!_Toc467769484" display="Porcentaje de Planes de Gestión Integral de Residuos Sólidos (PGIRS) con seguimiento a metas de aprovechamiento" xr:uid="{00000000-0004-0000-0200-000010000000}"/>
    <hyperlink ref="B18" location="'18Sector'!_Toc467769485" display="Porcentaje de sectores con acompañamiento para la reconversión hacia sistemas sostenibles de producción" xr:uid="{00000000-0004-0000-0200-000011000000}"/>
    <hyperlink ref="B19" location="'19GAU'!_Toc467769486" display="Porcentaje de ejecución de acciones en Gestión Ambiental Urbana" xr:uid="{00000000-0004-0000-0200-000012000000}"/>
    <hyperlink ref="B20" location="'20Negoc'!_Toc467769487" display="Implementación del Programa Regional de Negocios Verdes por la autoridad ambiental" xr:uid="{00000000-0004-0000-0200-000013000000}"/>
    <hyperlink ref="B22" location="'22Autor'!_Toc467769489" display="Porcentaje de autorizaciones ambientales con seguimiento" xr:uid="{00000000-0004-0000-0200-000014000000}"/>
    <hyperlink ref="B23" location="'23Sanc'!_Toc467769490" display="Porcentaje de Procesos Sancionatorios Resueltos" xr:uid="{00000000-0004-0000-02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200-000016000000}"/>
    <hyperlink ref="B25" location="'25Redes'!_Toc467769492" display="Porcentaje de redes y estaciones de monitoreo en operación" xr:uid="{00000000-0004-0000-0200-000017000000}"/>
    <hyperlink ref="B26" location="'26SIAC'!_Toc467769493" display="Porcentaje de actualización y reporte de la información en el SIAC" xr:uid="{00000000-0004-0000-0200-000018000000}"/>
    <hyperlink ref="B27" location="'27Educa'!_Toc467769494" display="Ejecución de Acciones en Educación Ambiental" xr:uid="{00000000-0004-0000-0200-000019000000}"/>
    <hyperlink ref="B21" location="'21TiempoT'!_Toc467769488" display="Tiempo promedio de trámite para la resolución de autorizaciones ambientales otorgadas por la corporación" xr:uid="{00000000-0004-0000-0200-00001A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89"/>
  <sheetViews>
    <sheetView showGridLines="0" topLeftCell="A28" zoomScale="98" zoomScaleNormal="98" workbookViewId="0">
      <selection activeCell="E41" sqref="E41"/>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8" width="10.7109375" style="241"/>
    <col min="9" max="9" width="10.7109375" style="94"/>
    <col min="10"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756</v>
      </c>
      <c r="B5" s="996"/>
      <c r="C5" s="996"/>
      <c r="D5" s="996"/>
      <c r="E5" s="996"/>
      <c r="F5" s="996"/>
      <c r="G5" s="996"/>
      <c r="H5" s="996"/>
      <c r="I5" s="996"/>
      <c r="J5" s="996"/>
      <c r="K5" s="996"/>
      <c r="L5" s="996"/>
      <c r="M5" s="996"/>
      <c r="N5" s="996"/>
      <c r="O5" s="996"/>
      <c r="P5" s="997"/>
    </row>
    <row r="6" spans="1:21">
      <c r="B6" s="2" t="s">
        <v>1437</v>
      </c>
      <c r="C6" s="70"/>
      <c r="D6" s="4"/>
      <c r="E6" s="53"/>
      <c r="F6" s="4" t="s">
        <v>1438</v>
      </c>
      <c r="G6" s="4"/>
      <c r="H6" s="4"/>
      <c r="I6" s="63"/>
      <c r="J6" s="4"/>
      <c r="K6" s="4"/>
    </row>
    <row r="7" spans="1:21" ht="15.75" thickBot="1">
      <c r="B7" s="702"/>
      <c r="C7" s="706"/>
      <c r="D7" s="4"/>
      <c r="E7" s="13"/>
      <c r="F7" s="4" t="s">
        <v>1439</v>
      </c>
      <c r="G7" s="4"/>
      <c r="H7" s="4"/>
      <c r="I7" s="63"/>
      <c r="J7" s="4"/>
      <c r="K7" s="4"/>
    </row>
    <row r="8" spans="1:21" ht="15.75" thickBot="1">
      <c r="B8" s="132" t="s">
        <v>1440</v>
      </c>
      <c r="C8" s="164">
        <v>2020</v>
      </c>
      <c r="D8" s="169">
        <f>IF(E10="NO APLICA","NO APLICA",IF(E11="NO SE REPORTA","SIN INFORMACION",+G57))</f>
        <v>1</v>
      </c>
      <c r="E8" s="165"/>
      <c r="F8" s="4" t="s">
        <v>1441</v>
      </c>
      <c r="G8" s="4"/>
      <c r="H8" s="4"/>
      <c r="I8" s="63"/>
      <c r="J8" s="4"/>
      <c r="K8" s="4"/>
    </row>
    <row r="9" spans="1:21">
      <c r="B9" s="300" t="s">
        <v>1442</v>
      </c>
      <c r="D9" s="4"/>
      <c r="E9" s="4"/>
      <c r="F9" s="4"/>
      <c r="G9" s="4"/>
      <c r="H9" s="4"/>
      <c r="I9" s="63"/>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2473</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63"/>
      <c r="J14" s="4"/>
      <c r="K14" s="4"/>
    </row>
    <row r="15" spans="1:21">
      <c r="B15" s="1032" t="s">
        <v>1449</v>
      </c>
      <c r="C15" s="65"/>
      <c r="D15" s="1009" t="s">
        <v>1450</v>
      </c>
      <c r="E15" s="1010"/>
      <c r="F15" s="1010"/>
      <c r="G15" s="1010"/>
      <c r="H15" s="1010"/>
      <c r="I15" s="1011"/>
      <c r="J15" s="4"/>
      <c r="K15" s="4"/>
    </row>
    <row r="16" spans="1:21">
      <c r="B16" s="1033"/>
      <c r="C16" s="68"/>
      <c r="D16" s="1174" t="s">
        <v>2474</v>
      </c>
      <c r="E16" s="1175"/>
      <c r="F16" s="1175"/>
      <c r="G16" s="1175"/>
      <c r="H16" s="1175"/>
      <c r="I16" s="1176"/>
      <c r="J16" s="4"/>
      <c r="K16" s="4"/>
    </row>
    <row r="17" spans="2:11" ht="15.75" thickBot="1">
      <c r="B17" s="1033"/>
      <c r="C17" s="68"/>
      <c r="D17" s="1044"/>
      <c r="E17" s="1045"/>
      <c r="F17" s="1045"/>
      <c r="G17" s="1045"/>
      <c r="H17" s="1045"/>
      <c r="I17" s="1046"/>
      <c r="J17" s="4"/>
      <c r="K17" s="4"/>
    </row>
    <row r="18" spans="2:11" ht="15.75" thickBot="1">
      <c r="B18" s="1033"/>
      <c r="C18" s="890"/>
      <c r="D18" s="842" t="s">
        <v>1603</v>
      </c>
      <c r="E18" s="872" t="s">
        <v>1487</v>
      </c>
      <c r="F18" s="872" t="s">
        <v>1488</v>
      </c>
      <c r="G18" s="872" t="s">
        <v>1489</v>
      </c>
      <c r="H18" s="872" t="s">
        <v>1490</v>
      </c>
      <c r="I18" s="66" t="s">
        <v>1604</v>
      </c>
      <c r="J18" s="4"/>
      <c r="K18" s="4"/>
    </row>
    <row r="19" spans="2:11" ht="36.75" thickBot="1">
      <c r="B19" s="1033"/>
      <c r="C19" s="890"/>
      <c r="D19" s="845" t="s">
        <v>2475</v>
      </c>
      <c r="E19" s="5">
        <v>120</v>
      </c>
      <c r="F19" s="5"/>
      <c r="G19" s="5"/>
      <c r="H19" s="5"/>
      <c r="I19" s="106">
        <f>SUM(E19:H19)</f>
        <v>120</v>
      </c>
      <c r="J19" s="4"/>
      <c r="K19" s="4"/>
    </row>
    <row r="20" spans="2:11" ht="24.75" thickBot="1">
      <c r="B20" s="1033"/>
      <c r="C20" s="890"/>
      <c r="D20" s="845" t="s">
        <v>2476</v>
      </c>
      <c r="E20" s="5">
        <v>1</v>
      </c>
      <c r="F20" s="5"/>
      <c r="G20" s="5"/>
      <c r="H20" s="5"/>
      <c r="I20" s="106">
        <f>SUM(E20:H20)</f>
        <v>1</v>
      </c>
      <c r="J20" s="4" t="s">
        <v>2477</v>
      </c>
      <c r="K20" s="4"/>
    </row>
    <row r="21" spans="2:11" ht="36.75" thickBot="1">
      <c r="B21" s="1033"/>
      <c r="C21" s="890"/>
      <c r="D21" s="845" t="s">
        <v>2478</v>
      </c>
      <c r="E21" s="107">
        <f>+E19/E20</f>
        <v>120</v>
      </c>
      <c r="F21" s="107" t="e">
        <f>+F19/F20</f>
        <v>#DIV/0!</v>
      </c>
      <c r="G21" s="107" t="e">
        <f>+G19/G20</f>
        <v>#DIV/0!</v>
      </c>
      <c r="H21" s="107" t="e">
        <f>+H19/H20</f>
        <v>#DIV/0!</v>
      </c>
      <c r="I21" s="107">
        <f>+I19/I20</f>
        <v>120</v>
      </c>
      <c r="J21" s="4"/>
      <c r="K21" s="4"/>
    </row>
    <row r="22" spans="2:11">
      <c r="B22" s="1033"/>
      <c r="C22" s="68"/>
      <c r="D22" s="1009"/>
      <c r="E22" s="1010"/>
      <c r="F22" s="1010"/>
      <c r="G22" s="1010"/>
      <c r="H22" s="1010"/>
      <c r="I22" s="1011"/>
      <c r="J22" s="4"/>
      <c r="K22" s="4"/>
    </row>
    <row r="23" spans="2:11">
      <c r="B23" s="1033"/>
      <c r="C23" s="68"/>
      <c r="D23" s="1174" t="s">
        <v>2479</v>
      </c>
      <c r="E23" s="1175"/>
      <c r="F23" s="1175"/>
      <c r="G23" s="1175"/>
      <c r="H23" s="1175"/>
      <c r="I23" s="1176"/>
      <c r="J23" s="4"/>
      <c r="K23" s="4"/>
    </row>
    <row r="24" spans="2:11" ht="15.75" thickBot="1">
      <c r="B24" s="1033"/>
      <c r="C24" s="68"/>
      <c r="D24" s="1006"/>
      <c r="E24" s="1007"/>
      <c r="F24" s="1007"/>
      <c r="G24" s="1007"/>
      <c r="H24" s="1007"/>
      <c r="I24" s="1008"/>
      <c r="J24" s="4"/>
      <c r="K24" s="4"/>
    </row>
    <row r="25" spans="2:11" ht="15.75" thickBot="1">
      <c r="B25" s="1033"/>
      <c r="C25" s="890"/>
      <c r="D25" s="842" t="s">
        <v>1603</v>
      </c>
      <c r="E25" s="872" t="s">
        <v>1487</v>
      </c>
      <c r="F25" s="872" t="s">
        <v>1488</v>
      </c>
      <c r="G25" s="872" t="s">
        <v>1489</v>
      </c>
      <c r="H25" s="872" t="s">
        <v>1490</v>
      </c>
      <c r="I25" s="66" t="s">
        <v>1604</v>
      </c>
      <c r="J25" s="4"/>
      <c r="K25" s="4"/>
    </row>
    <row r="26" spans="2:11" ht="36.75" thickBot="1">
      <c r="B26" s="1033"/>
      <c r="C26" s="890"/>
      <c r="D26" s="845" t="s">
        <v>2480</v>
      </c>
      <c r="E26" s="5">
        <v>60</v>
      </c>
      <c r="F26" s="5"/>
      <c r="G26" s="5"/>
      <c r="H26" s="5"/>
      <c r="I26" s="106">
        <f>SUM(E26:H26)</f>
        <v>60</v>
      </c>
      <c r="J26" s="31" t="s">
        <v>2481</v>
      </c>
      <c r="K26" s="4"/>
    </row>
    <row r="27" spans="2:11" ht="36.75" thickBot="1">
      <c r="B27" s="1033"/>
      <c r="C27" s="890"/>
      <c r="D27" s="845" t="s">
        <v>2482</v>
      </c>
      <c r="E27" s="5">
        <v>51</v>
      </c>
      <c r="F27" s="5"/>
      <c r="G27" s="5"/>
      <c r="H27" s="5"/>
      <c r="I27" s="106">
        <f>SUM(E27:H27)</f>
        <v>51</v>
      </c>
      <c r="J27" s="31" t="s">
        <v>2483</v>
      </c>
      <c r="K27" s="4"/>
    </row>
    <row r="28" spans="2:11" ht="36.75" thickBot="1">
      <c r="B28" s="1033"/>
      <c r="C28" s="890"/>
      <c r="D28" s="845" t="s">
        <v>2484</v>
      </c>
      <c r="E28" s="107">
        <f>+E26/E27</f>
        <v>1.1764705882352942</v>
      </c>
      <c r="F28" s="107" t="e">
        <f>+F26/F27</f>
        <v>#DIV/0!</v>
      </c>
      <c r="G28" s="107" t="e">
        <f>+G26/G27</f>
        <v>#DIV/0!</v>
      </c>
      <c r="H28" s="107" t="e">
        <f>+H26/H27</f>
        <v>#DIV/0!</v>
      </c>
      <c r="I28" s="107">
        <f>+I26/I27</f>
        <v>1.1764705882352942</v>
      </c>
      <c r="K28" s="4"/>
    </row>
    <row r="29" spans="2:11">
      <c r="B29" s="1033"/>
      <c r="C29" s="68"/>
      <c r="D29" s="1009" t="s">
        <v>154</v>
      </c>
      <c r="E29" s="1010"/>
      <c r="F29" s="1010"/>
      <c r="G29" s="1010"/>
      <c r="H29" s="1010"/>
      <c r="I29" s="1011"/>
      <c r="J29" s="4"/>
      <c r="K29" s="4"/>
    </row>
    <row r="30" spans="2:11">
      <c r="B30" s="1033"/>
      <c r="C30" s="68"/>
      <c r="D30" s="1174" t="s">
        <v>2485</v>
      </c>
      <c r="E30" s="1175"/>
      <c r="F30" s="1175"/>
      <c r="G30" s="1175"/>
      <c r="H30" s="1175"/>
      <c r="I30" s="1176"/>
      <c r="J30" s="4"/>
      <c r="K30" s="4"/>
    </row>
    <row r="31" spans="2:11" ht="15.75" thickBot="1">
      <c r="B31" s="1033"/>
      <c r="C31" s="68"/>
      <c r="D31" s="1044"/>
      <c r="E31" s="1045"/>
      <c r="F31" s="1045"/>
      <c r="G31" s="1045"/>
      <c r="H31" s="1045"/>
      <c r="I31" s="1046"/>
      <c r="J31" s="4"/>
      <c r="K31" s="4"/>
    </row>
    <row r="32" spans="2:11" ht="15.75" thickBot="1">
      <c r="B32" s="1033"/>
      <c r="C32" s="890"/>
      <c r="D32" s="842" t="s">
        <v>1603</v>
      </c>
      <c r="E32" s="872" t="s">
        <v>1487</v>
      </c>
      <c r="F32" s="872" t="s">
        <v>1488</v>
      </c>
      <c r="G32" s="872" t="s">
        <v>1489</v>
      </c>
      <c r="H32" s="872" t="s">
        <v>1490</v>
      </c>
      <c r="I32" s="66" t="s">
        <v>1604</v>
      </c>
      <c r="J32" s="4"/>
      <c r="K32" s="4"/>
    </row>
    <row r="33" spans="2:11" ht="36.75" thickBot="1">
      <c r="B33" s="1033"/>
      <c r="C33" s="890"/>
      <c r="D33" s="845" t="s">
        <v>2486</v>
      </c>
      <c r="E33" s="5">
        <v>68</v>
      </c>
      <c r="F33" s="5"/>
      <c r="G33" s="5"/>
      <c r="H33" s="5"/>
      <c r="I33" s="106">
        <f>SUM(E33:H33)</f>
        <v>68</v>
      </c>
      <c r="J33" s="4"/>
      <c r="K33" s="4"/>
    </row>
    <row r="34" spans="2:11" ht="24.75" thickBot="1">
      <c r="B34" s="1033"/>
      <c r="C34" s="890"/>
      <c r="D34" s="845" t="s">
        <v>2487</v>
      </c>
      <c r="E34" s="5">
        <v>30</v>
      </c>
      <c r="F34" s="5"/>
      <c r="G34" s="5"/>
      <c r="H34" s="5"/>
      <c r="I34" s="106">
        <f>SUM(E34:H34)</f>
        <v>30</v>
      </c>
      <c r="J34" s="4"/>
      <c r="K34" s="4"/>
    </row>
    <row r="35" spans="2:11" ht="36.75" thickBot="1">
      <c r="B35" s="1033"/>
      <c r="C35" s="890"/>
      <c r="D35" s="845" t="s">
        <v>2488</v>
      </c>
      <c r="E35" s="107">
        <f>+E33/E34</f>
        <v>2.2666666666666666</v>
      </c>
      <c r="F35" s="107" t="e">
        <f>+F33/F34</f>
        <v>#DIV/0!</v>
      </c>
      <c r="G35" s="107" t="e">
        <f>+G33/G34</f>
        <v>#DIV/0!</v>
      </c>
      <c r="H35" s="107" t="e">
        <f>+H33/H34</f>
        <v>#DIV/0!</v>
      </c>
      <c r="I35" s="107">
        <f>+I33/I34</f>
        <v>2.2666666666666666</v>
      </c>
      <c r="J35" s="4"/>
      <c r="K35" s="4"/>
    </row>
    <row r="36" spans="2:11">
      <c r="B36" s="1033"/>
      <c r="C36" s="68"/>
      <c r="D36" s="1009"/>
      <c r="E36" s="1010"/>
      <c r="F36" s="1010"/>
      <c r="G36" s="1010"/>
      <c r="H36" s="1010"/>
      <c r="I36" s="1011"/>
      <c r="J36" s="4"/>
      <c r="K36" s="4"/>
    </row>
    <row r="37" spans="2:11">
      <c r="B37" s="1033"/>
      <c r="C37" s="68"/>
      <c r="D37" s="1174" t="s">
        <v>2489</v>
      </c>
      <c r="E37" s="1175"/>
      <c r="F37" s="1175"/>
      <c r="G37" s="1175"/>
      <c r="H37" s="1175"/>
      <c r="I37" s="1176"/>
      <c r="J37" s="4"/>
      <c r="K37" s="4"/>
    </row>
    <row r="38" spans="2:11" ht="15.75" thickBot="1">
      <c r="B38" s="1033"/>
      <c r="C38" s="68"/>
      <c r="D38" s="1044"/>
      <c r="E38" s="1045"/>
      <c r="F38" s="1045"/>
      <c r="G38" s="1045"/>
      <c r="H38" s="1045"/>
      <c r="I38" s="1046"/>
      <c r="J38" s="4"/>
      <c r="K38" s="4"/>
    </row>
    <row r="39" spans="2:11" ht="15.75" thickBot="1">
      <c r="B39" s="1033"/>
      <c r="C39" s="890"/>
      <c r="D39" s="842" t="s">
        <v>1603</v>
      </c>
      <c r="E39" s="872" t="s">
        <v>1487</v>
      </c>
      <c r="F39" s="872" t="s">
        <v>1488</v>
      </c>
      <c r="G39" s="872" t="s">
        <v>1489</v>
      </c>
      <c r="H39" s="872" t="s">
        <v>1490</v>
      </c>
      <c r="I39" s="66" t="s">
        <v>1604</v>
      </c>
      <c r="J39" s="4"/>
      <c r="K39" s="4"/>
    </row>
    <row r="40" spans="2:11" ht="36.75" thickBot="1">
      <c r="B40" s="1033"/>
      <c r="C40" s="890"/>
      <c r="D40" s="845" t="s">
        <v>2490</v>
      </c>
      <c r="E40" s="5">
        <v>60</v>
      </c>
      <c r="F40" s="5"/>
      <c r="G40" s="5"/>
      <c r="H40" s="5"/>
      <c r="I40" s="106">
        <f>SUM(E40:H40)</f>
        <v>60</v>
      </c>
      <c r="J40" s="31" t="s">
        <v>2491</v>
      </c>
      <c r="K40" s="4"/>
    </row>
    <row r="41" spans="2:11" ht="36.75" thickBot="1">
      <c r="B41" s="1033"/>
      <c r="C41" s="890"/>
      <c r="D41" s="845" t="s">
        <v>2492</v>
      </c>
      <c r="E41" s="5">
        <v>42</v>
      </c>
      <c r="F41" s="5"/>
      <c r="G41" s="5"/>
      <c r="H41" s="5"/>
      <c r="I41" s="106">
        <f>SUM(E41:H41)</f>
        <v>42</v>
      </c>
      <c r="J41" s="4"/>
      <c r="K41" s="4"/>
    </row>
    <row r="42" spans="2:11" ht="36.75" thickBot="1">
      <c r="B42" s="1033"/>
      <c r="C42" s="890"/>
      <c r="D42" s="845" t="s">
        <v>2493</v>
      </c>
      <c r="E42" s="107">
        <f>+E40/E41</f>
        <v>1.4285714285714286</v>
      </c>
      <c r="F42" s="107" t="e">
        <f>+F40/F41</f>
        <v>#DIV/0!</v>
      </c>
      <c r="G42" s="107" t="e">
        <f>+G40/G41</f>
        <v>#DIV/0!</v>
      </c>
      <c r="H42" s="107" t="e">
        <f>+H40/H41</f>
        <v>#DIV/0!</v>
      </c>
      <c r="I42" s="107">
        <f>+I40/I41</f>
        <v>1.4285714285714286</v>
      </c>
      <c r="J42" s="4"/>
      <c r="K42" s="4"/>
    </row>
    <row r="43" spans="2:11">
      <c r="B43" s="1033"/>
      <c r="C43" s="68"/>
      <c r="D43" s="1009"/>
      <c r="E43" s="1010"/>
      <c r="F43" s="1010"/>
      <c r="G43" s="1010"/>
      <c r="H43" s="1010"/>
      <c r="I43" s="1011"/>
      <c r="J43" s="4"/>
      <c r="K43" s="4"/>
    </row>
    <row r="44" spans="2:11">
      <c r="B44" s="1033"/>
      <c r="C44" s="68"/>
      <c r="D44" s="1174" t="s">
        <v>2494</v>
      </c>
      <c r="E44" s="1175"/>
      <c r="F44" s="1175"/>
      <c r="G44" s="1175"/>
      <c r="H44" s="1175"/>
      <c r="I44" s="1176"/>
      <c r="J44" s="4"/>
      <c r="K44" s="4"/>
    </row>
    <row r="45" spans="2:11" ht="15.75" thickBot="1">
      <c r="B45" s="1033"/>
      <c r="C45" s="68"/>
      <c r="D45" s="1044"/>
      <c r="E45" s="1045"/>
      <c r="F45" s="1045"/>
      <c r="G45" s="1045"/>
      <c r="H45" s="1045"/>
      <c r="I45" s="1046"/>
      <c r="J45" s="4"/>
      <c r="K45" s="4"/>
    </row>
    <row r="46" spans="2:11" ht="15.75" thickBot="1">
      <c r="B46" s="1033"/>
      <c r="C46" s="890"/>
      <c r="D46" s="842" t="s">
        <v>1603</v>
      </c>
      <c r="E46" s="872" t="s">
        <v>1487</v>
      </c>
      <c r="F46" s="872" t="s">
        <v>1488</v>
      </c>
      <c r="G46" s="872" t="s">
        <v>1489</v>
      </c>
      <c r="H46" s="872" t="s">
        <v>1490</v>
      </c>
      <c r="I46" s="66" t="s">
        <v>1604</v>
      </c>
      <c r="J46" s="4"/>
      <c r="K46" s="4"/>
    </row>
    <row r="47" spans="2:11" ht="36.75" thickBot="1">
      <c r="B47" s="1033"/>
      <c r="C47" s="890"/>
      <c r="D47" s="845" t="s">
        <v>2495</v>
      </c>
      <c r="E47" s="5">
        <v>70</v>
      </c>
      <c r="F47" s="5"/>
      <c r="G47" s="5"/>
      <c r="H47" s="5"/>
      <c r="I47" s="106">
        <f>SUM(E47:H47)</f>
        <v>70</v>
      </c>
      <c r="J47" s="4"/>
      <c r="K47" s="4"/>
    </row>
    <row r="48" spans="2:11" ht="36.75" thickBot="1">
      <c r="B48" s="1033"/>
      <c r="C48" s="890"/>
      <c r="D48" s="845" t="s">
        <v>2496</v>
      </c>
      <c r="E48" s="5">
        <v>13</v>
      </c>
      <c r="F48" s="5"/>
      <c r="G48" s="5"/>
      <c r="H48" s="5"/>
      <c r="I48" s="106">
        <f>SUM(E48:H48)</f>
        <v>13</v>
      </c>
      <c r="J48" s="4"/>
      <c r="K48" s="4"/>
    </row>
    <row r="49" spans="2:11" ht="36.75" thickBot="1">
      <c r="B49" s="1034"/>
      <c r="C49" s="857"/>
      <c r="D49" s="845" t="s">
        <v>2497</v>
      </c>
      <c r="E49" s="107">
        <f>+E47/E48</f>
        <v>5.384615384615385</v>
      </c>
      <c r="F49" s="107" t="e">
        <f>+F47/F48</f>
        <v>#DIV/0!</v>
      </c>
      <c r="G49" s="107" t="e">
        <f>+G47/G48</f>
        <v>#DIV/0!</v>
      </c>
      <c r="H49" s="107" t="e">
        <f>+H47/H48</f>
        <v>#DIV/0!</v>
      </c>
      <c r="I49" s="107">
        <f>+I47/I48</f>
        <v>5.384615384615385</v>
      </c>
      <c r="J49" s="4"/>
      <c r="K49" s="4"/>
    </row>
    <row r="50" spans="2:11" ht="15.75" thickBot="1">
      <c r="C50" s="241"/>
      <c r="I50" s="241"/>
    </row>
    <row r="51" spans="2:11" ht="24.75" thickBot="1">
      <c r="C51" s="241"/>
      <c r="D51" s="40" t="s">
        <v>2498</v>
      </c>
      <c r="E51" s="40" t="s">
        <v>2499</v>
      </c>
      <c r="F51" s="40" t="s">
        <v>2500</v>
      </c>
      <c r="G51" s="754" t="s">
        <v>2501</v>
      </c>
      <c r="I51" s="241"/>
    </row>
    <row r="52" spans="2:11" ht="15.75" thickBot="1">
      <c r="C52" s="241"/>
      <c r="D52" s="40" t="str">
        <f>+D16</f>
        <v>Licencias ambientales</v>
      </c>
      <c r="E52" s="107">
        <f>+E21</f>
        <v>120</v>
      </c>
      <c r="F52" s="284">
        <v>120</v>
      </c>
      <c r="G52" s="143">
        <f>IF(F52/E52&gt;1,1,F52/E52)</f>
        <v>1</v>
      </c>
      <c r="I52" s="241"/>
    </row>
    <row r="53" spans="2:11" ht="15.75" thickBot="1">
      <c r="C53" s="241"/>
      <c r="D53" s="40" t="str">
        <f>+D23</f>
        <v>Concesiones de agua</v>
      </c>
      <c r="E53" s="107">
        <f>+E28</f>
        <v>1.1764705882352942</v>
      </c>
      <c r="F53" s="284">
        <v>60</v>
      </c>
      <c r="G53" s="143">
        <f>IF(F53/E53&gt;1,1,F53/E53)</f>
        <v>1</v>
      </c>
      <c r="I53" s="241"/>
    </row>
    <row r="54" spans="2:11" ht="15.75" thickBot="1">
      <c r="C54" s="241"/>
      <c r="D54" s="40" t="str">
        <f>+D30</f>
        <v>Permisos de vertimiento de agua</v>
      </c>
      <c r="E54" s="107">
        <f>+E35</f>
        <v>2.2666666666666666</v>
      </c>
      <c r="F54" s="284">
        <v>68</v>
      </c>
      <c r="G54" s="143">
        <f>IF(F54/E54&gt;1,1,F54/E54)</f>
        <v>1</v>
      </c>
      <c r="I54" s="241"/>
    </row>
    <row r="55" spans="2:11" ht="15.75" thickBot="1">
      <c r="C55" s="241"/>
      <c r="D55" s="40" t="str">
        <f>+D37</f>
        <v>Permisos de aprovechamiento forestal</v>
      </c>
      <c r="E55" s="107">
        <f>+E42</f>
        <v>1.4285714285714286</v>
      </c>
      <c r="F55" s="284">
        <v>60</v>
      </c>
      <c r="G55" s="143">
        <f>IF(F55/E55&gt;1,1,F55/E55)</f>
        <v>1</v>
      </c>
      <c r="I55" s="241"/>
    </row>
    <row r="56" spans="2:11" ht="15.75" thickBot="1">
      <c r="C56" s="241"/>
      <c r="D56" s="40" t="str">
        <f>+D44</f>
        <v>Permisos de emisiones atmosféricas</v>
      </c>
      <c r="E56" s="107">
        <f>+E49</f>
        <v>5.384615384615385</v>
      </c>
      <c r="F56" s="284">
        <v>70</v>
      </c>
      <c r="G56" s="143">
        <f>IF(F56/E56&gt;1,1,F56/E56)</f>
        <v>1</v>
      </c>
      <c r="I56" s="241"/>
    </row>
    <row r="57" spans="2:11" ht="24.75" thickBot="1">
      <c r="C57" s="241"/>
      <c r="D57" s="40" t="s">
        <v>2502</v>
      </c>
      <c r="E57" s="107">
        <f>AVERAGE(E52:E56)</f>
        <v>26.051264813617752</v>
      </c>
      <c r="F57" s="107">
        <f>AVERAGE(F52:F56)</f>
        <v>75.599999999999994</v>
      </c>
      <c r="G57" s="143">
        <f>AVERAGE(G52:G56)</f>
        <v>1</v>
      </c>
      <c r="I57" s="241"/>
    </row>
    <row r="58" spans="2:11">
      <c r="C58" s="241"/>
      <c r="I58" s="241"/>
    </row>
    <row r="59" spans="2:11" ht="15.75" thickBot="1">
      <c r="C59" s="241"/>
      <c r="I59" s="241"/>
    </row>
    <row r="60" spans="2:11" ht="60" customHeight="1" thickBot="1">
      <c r="B60" s="40" t="s">
        <v>1504</v>
      </c>
      <c r="C60" s="158"/>
      <c r="D60" s="1041" t="s">
        <v>2503</v>
      </c>
      <c r="E60" s="1042"/>
      <c r="F60" s="1042"/>
      <c r="G60" s="1042"/>
      <c r="H60" s="1042"/>
      <c r="I60" s="1043"/>
      <c r="J60" s="4"/>
      <c r="K60" s="4"/>
    </row>
    <row r="61" spans="2:11" ht="36" customHeight="1" thickBot="1">
      <c r="B61" s="839" t="s">
        <v>1506</v>
      </c>
      <c r="C61" s="69"/>
      <c r="D61" s="1041" t="s">
        <v>1613</v>
      </c>
      <c r="E61" s="1042"/>
      <c r="F61" s="1042"/>
      <c r="G61" s="1042"/>
      <c r="H61" s="1042"/>
      <c r="I61" s="1043"/>
      <c r="J61" s="4"/>
      <c r="K61" s="4"/>
    </row>
    <row r="62" spans="2:11" ht="15.75" thickBot="1">
      <c r="B62" s="1"/>
      <c r="C62" s="55"/>
      <c r="D62" s="4"/>
      <c r="E62" s="4"/>
      <c r="F62" s="4"/>
      <c r="G62" s="4"/>
      <c r="H62" s="4"/>
      <c r="I62" s="63"/>
      <c r="J62" s="4"/>
      <c r="K62" s="4"/>
    </row>
    <row r="63" spans="2:11" ht="24" customHeight="1" thickBot="1">
      <c r="B63" s="1029" t="s">
        <v>1508</v>
      </c>
      <c r="C63" s="1030"/>
      <c r="D63" s="1030"/>
      <c r="E63" s="1031"/>
      <c r="F63" s="4"/>
      <c r="G63" s="4"/>
      <c r="H63" s="4"/>
      <c r="I63" s="63"/>
      <c r="J63" s="4"/>
      <c r="K63" s="4"/>
    </row>
    <row r="64" spans="2:11" ht="15.75" thickBot="1">
      <c r="B64" s="1032">
        <v>1</v>
      </c>
      <c r="C64" s="890"/>
      <c r="D64" s="37" t="s">
        <v>1509</v>
      </c>
      <c r="E64" s="95" t="s">
        <v>1510</v>
      </c>
      <c r="F64" s="4"/>
      <c r="G64" s="4"/>
      <c r="H64" s="4"/>
      <c r="I64" s="63"/>
      <c r="J64" s="4"/>
      <c r="K64" s="4"/>
    </row>
    <row r="65" spans="2:11" ht="36.75" thickBot="1">
      <c r="B65" s="1033"/>
      <c r="C65" s="890"/>
      <c r="D65" s="845" t="s">
        <v>10</v>
      </c>
      <c r="E65" s="753" t="s">
        <v>2504</v>
      </c>
      <c r="F65" s="4"/>
      <c r="G65" s="4"/>
      <c r="H65" s="4"/>
      <c r="I65" s="63"/>
      <c r="J65" s="4"/>
      <c r="K65" s="4"/>
    </row>
    <row r="66" spans="2:11" ht="24.75" thickBot="1">
      <c r="B66" s="1033"/>
      <c r="C66" s="890"/>
      <c r="D66" s="845" t="s">
        <v>1512</v>
      </c>
      <c r="E66" s="753" t="s">
        <v>1691</v>
      </c>
      <c r="F66" s="4"/>
      <c r="G66" s="4"/>
      <c r="H66" s="4"/>
      <c r="I66" s="63"/>
      <c r="J66" s="4"/>
      <c r="K66" s="4"/>
    </row>
    <row r="67" spans="2:11" ht="15.75" thickBot="1">
      <c r="B67" s="1033"/>
      <c r="C67" s="890"/>
      <c r="D67" s="845" t="s">
        <v>13</v>
      </c>
      <c r="E67" s="753" t="s">
        <v>1514</v>
      </c>
      <c r="F67" s="4"/>
      <c r="G67" s="4"/>
      <c r="H67" s="4"/>
      <c r="I67" s="63"/>
      <c r="J67" s="4"/>
      <c r="K67" s="4"/>
    </row>
    <row r="68" spans="2:11" ht="45.75" thickBot="1">
      <c r="B68" s="1033"/>
      <c r="C68" s="890"/>
      <c r="D68" s="845" t="s">
        <v>16</v>
      </c>
      <c r="E68" s="755" t="s">
        <v>1646</v>
      </c>
      <c r="F68" s="4"/>
      <c r="G68" s="4"/>
      <c r="H68" s="4"/>
      <c r="I68" s="63"/>
      <c r="J68" s="4"/>
      <c r="K68" s="4"/>
    </row>
    <row r="69" spans="2:11" ht="24.75" thickBot="1">
      <c r="B69" s="1033"/>
      <c r="C69" s="890"/>
      <c r="D69" s="845" t="s">
        <v>19</v>
      </c>
      <c r="E69" s="753" t="s">
        <v>1647</v>
      </c>
      <c r="F69" s="4"/>
      <c r="G69" s="4"/>
      <c r="H69" s="4"/>
      <c r="I69" s="63"/>
      <c r="J69" s="4"/>
      <c r="K69" s="4"/>
    </row>
    <row r="70" spans="2:11" ht="24.75" thickBot="1">
      <c r="B70" s="1034"/>
      <c r="C70" s="857"/>
      <c r="D70" s="845" t="s">
        <v>1516</v>
      </c>
      <c r="E70" s="275" t="s">
        <v>1517</v>
      </c>
      <c r="F70" s="4"/>
      <c r="G70" s="4"/>
      <c r="H70" s="4"/>
      <c r="I70" s="63"/>
      <c r="J70" s="4"/>
      <c r="K70" s="4"/>
    </row>
    <row r="71" spans="2:11" ht="15.75" thickBot="1">
      <c r="B71" s="1"/>
      <c r="C71" s="55"/>
      <c r="D71" s="4"/>
      <c r="E71" s="4"/>
      <c r="F71" s="4"/>
      <c r="G71" s="4"/>
      <c r="H71" s="4"/>
      <c r="I71" s="63"/>
      <c r="J71" s="4"/>
      <c r="K71" s="4"/>
    </row>
    <row r="72" spans="2:11" ht="15.75" thickBot="1">
      <c r="B72" s="1029" t="s">
        <v>1518</v>
      </c>
      <c r="C72" s="1030"/>
      <c r="D72" s="1030"/>
      <c r="E72" s="1031"/>
      <c r="F72" s="4"/>
      <c r="G72" s="4"/>
      <c r="H72" s="4"/>
      <c r="I72" s="63"/>
      <c r="J72" s="4"/>
      <c r="K72" s="4"/>
    </row>
    <row r="73" spans="2:11" ht="15.75" thickBot="1">
      <c r="B73" s="1032">
        <v>1</v>
      </c>
      <c r="C73" s="890"/>
      <c r="D73" s="37" t="s">
        <v>1509</v>
      </c>
      <c r="E73" s="870" t="s">
        <v>1519</v>
      </c>
      <c r="F73" s="4"/>
      <c r="G73" s="4"/>
      <c r="H73" s="4"/>
      <c r="I73" s="63"/>
      <c r="J73" s="4"/>
      <c r="K73" s="4"/>
    </row>
    <row r="74" spans="2:11" ht="15.75" thickBot="1">
      <c r="B74" s="1033"/>
      <c r="C74" s="890"/>
      <c r="D74" s="845" t="s">
        <v>10</v>
      </c>
      <c r="E74" s="870" t="s">
        <v>1616</v>
      </c>
      <c r="F74" s="4"/>
      <c r="G74" s="4"/>
      <c r="H74" s="4"/>
      <c r="I74" s="63"/>
      <c r="J74" s="4"/>
      <c r="K74" s="4"/>
    </row>
    <row r="75" spans="2:11" ht="15.75" thickBot="1">
      <c r="B75" s="1033"/>
      <c r="C75" s="890"/>
      <c r="D75" s="845" t="s">
        <v>1512</v>
      </c>
      <c r="E75" s="130"/>
      <c r="F75" s="4"/>
      <c r="G75" s="4"/>
      <c r="H75" s="4"/>
      <c r="I75" s="63"/>
      <c r="J75" s="4"/>
      <c r="K75" s="4"/>
    </row>
    <row r="76" spans="2:11" ht="15.75" thickBot="1">
      <c r="B76" s="1033"/>
      <c r="C76" s="890"/>
      <c r="D76" s="845" t="s">
        <v>13</v>
      </c>
      <c r="E76" s="130"/>
      <c r="F76" s="4"/>
      <c r="G76" s="4"/>
      <c r="H76" s="4"/>
      <c r="I76" s="63"/>
      <c r="J76" s="4"/>
      <c r="K76" s="4"/>
    </row>
    <row r="77" spans="2:11" ht="15.75" thickBot="1">
      <c r="B77" s="1033"/>
      <c r="C77" s="890"/>
      <c r="D77" s="845" t="s">
        <v>16</v>
      </c>
      <c r="E77" s="130"/>
      <c r="F77" s="4"/>
      <c r="G77" s="4"/>
      <c r="H77" s="4"/>
      <c r="I77" s="63"/>
      <c r="J77" s="4"/>
      <c r="K77" s="4"/>
    </row>
    <row r="78" spans="2:11" ht="15.75" thickBot="1">
      <c r="B78" s="1033"/>
      <c r="C78" s="890"/>
      <c r="D78" s="845" t="s">
        <v>19</v>
      </c>
      <c r="E78" s="130"/>
      <c r="F78" s="4"/>
      <c r="G78" s="4"/>
      <c r="H78" s="4"/>
      <c r="I78" s="63"/>
      <c r="J78" s="4"/>
      <c r="K78" s="4"/>
    </row>
    <row r="79" spans="2:11" ht="15.75" thickBot="1">
      <c r="B79" s="1034"/>
      <c r="C79" s="857"/>
      <c r="D79" s="845" t="s">
        <v>1516</v>
      </c>
      <c r="E79" s="130"/>
      <c r="F79" s="4"/>
      <c r="G79" s="4"/>
      <c r="H79" s="4"/>
      <c r="I79" s="63"/>
      <c r="J79" s="4"/>
      <c r="K79" s="4"/>
    </row>
    <row r="80" spans="2:11" ht="15.75" thickBot="1">
      <c r="B80" s="1"/>
      <c r="C80" s="55"/>
      <c r="D80" s="4"/>
      <c r="E80" s="4"/>
      <c r="F80" s="4"/>
      <c r="G80" s="4"/>
      <c r="H80" s="4"/>
      <c r="I80" s="63"/>
      <c r="J80" s="4"/>
      <c r="K80" s="4"/>
    </row>
    <row r="81" spans="2:11" ht="15" customHeight="1" thickBot="1">
      <c r="B81" s="88" t="s">
        <v>1521</v>
      </c>
      <c r="C81" s="89"/>
      <c r="D81" s="89"/>
      <c r="E81" s="90"/>
      <c r="G81" s="4"/>
      <c r="H81" s="4"/>
      <c r="I81" s="63"/>
      <c r="J81" s="4"/>
      <c r="K81" s="4"/>
    </row>
    <row r="82" spans="2:11" ht="24.75" thickBot="1">
      <c r="B82" s="839" t="s">
        <v>1522</v>
      </c>
      <c r="C82" s="845" t="s">
        <v>1523</v>
      </c>
      <c r="D82" s="845" t="s">
        <v>1524</v>
      </c>
      <c r="E82" s="845" t="s">
        <v>1525</v>
      </c>
      <c r="F82" s="4"/>
      <c r="G82" s="4"/>
      <c r="H82" s="4"/>
      <c r="I82" s="63"/>
      <c r="J82" s="4"/>
    </row>
    <row r="83" spans="2:11" ht="72.75" thickBot="1">
      <c r="B83" s="38">
        <v>42401</v>
      </c>
      <c r="C83" s="845">
        <v>0.01</v>
      </c>
      <c r="D83" s="837" t="s">
        <v>2505</v>
      </c>
      <c r="E83" s="845"/>
      <c r="F83" s="4"/>
      <c r="G83" s="4"/>
      <c r="H83" s="4"/>
      <c r="I83" s="63"/>
      <c r="J83" s="4"/>
    </row>
    <row r="84" spans="2:11" ht="15.75" thickBot="1">
      <c r="B84" s="1"/>
      <c r="C84" s="55"/>
      <c r="D84" s="4"/>
      <c r="E84" s="4"/>
      <c r="F84" s="4"/>
      <c r="G84" s="4"/>
      <c r="H84" s="4"/>
      <c r="I84" s="63"/>
      <c r="J84" s="4"/>
      <c r="K84" s="4"/>
    </row>
    <row r="85" spans="2:11" ht="15.75" thickBot="1">
      <c r="B85" s="879" t="s">
        <v>1406</v>
      </c>
      <c r="C85" s="705"/>
      <c r="D85" s="4"/>
      <c r="E85" s="4"/>
      <c r="F85" s="4"/>
      <c r="G85" s="4"/>
      <c r="H85" s="4"/>
      <c r="I85" s="63"/>
      <c r="J85" s="4"/>
      <c r="K85" s="4"/>
    </row>
    <row r="86" spans="2:11">
      <c r="B86" s="1211"/>
      <c r="C86" s="1212"/>
      <c r="D86" s="1213"/>
      <c r="E86" s="4"/>
      <c r="F86" s="4"/>
      <c r="G86" s="4"/>
      <c r="H86" s="4"/>
      <c r="I86" s="63"/>
      <c r="J86" s="4"/>
      <c r="K86" s="4"/>
    </row>
    <row r="87" spans="2:11" ht="15.75" thickBot="1">
      <c r="B87" s="1214"/>
      <c r="C87" s="1215"/>
      <c r="D87" s="1216"/>
      <c r="E87" s="4"/>
      <c r="F87" s="4"/>
      <c r="G87" s="4"/>
      <c r="H87" s="4"/>
      <c r="I87" s="63"/>
      <c r="J87" s="4"/>
      <c r="K87" s="4"/>
    </row>
    <row r="88" spans="2:11" ht="15.75" thickBot="1">
      <c r="B88" s="4"/>
      <c r="D88" s="4"/>
      <c r="E88" s="4"/>
      <c r="F88" s="4"/>
      <c r="G88" s="4"/>
      <c r="H88" s="4"/>
      <c r="I88" s="63"/>
      <c r="J88" s="4"/>
      <c r="K88" s="4"/>
    </row>
    <row r="89" spans="2:11" ht="24.75" thickBot="1">
      <c r="B89" s="39" t="s">
        <v>1527</v>
      </c>
      <c r="C89" s="708"/>
      <c r="D89" s="4"/>
      <c r="E89" s="4"/>
      <c r="F89" s="4"/>
      <c r="G89" s="4"/>
      <c r="H89" s="4"/>
      <c r="I89" s="63"/>
      <c r="J89" s="4"/>
      <c r="K89" s="4"/>
    </row>
    <row r="90" spans="2:11" ht="15.75" thickBot="1">
      <c r="B90" s="1"/>
      <c r="C90" s="55"/>
      <c r="D90" s="4"/>
      <c r="E90" s="4"/>
      <c r="F90" s="4"/>
      <c r="G90" s="4"/>
      <c r="H90" s="4"/>
      <c r="I90" s="63"/>
      <c r="J90" s="4"/>
      <c r="K90" s="4"/>
    </row>
    <row r="91" spans="2:11" ht="144">
      <c r="B91" s="1032" t="s">
        <v>1528</v>
      </c>
      <c r="C91" s="856"/>
      <c r="D91" s="835" t="s">
        <v>2506</v>
      </c>
      <c r="E91" s="4"/>
      <c r="F91" s="4"/>
      <c r="G91" s="4"/>
      <c r="H91" s="4"/>
      <c r="I91" s="63"/>
      <c r="J91" s="4"/>
      <c r="K91" s="4"/>
    </row>
    <row r="92" spans="2:11" ht="120.75" thickBot="1">
      <c r="B92" s="1034"/>
      <c r="C92" s="857"/>
      <c r="D92" s="845" t="s">
        <v>2507</v>
      </c>
      <c r="E92" s="4"/>
      <c r="F92" s="4"/>
      <c r="G92" s="4"/>
      <c r="H92" s="4"/>
      <c r="I92" s="63"/>
      <c r="J92" s="4"/>
      <c r="K92" s="4"/>
    </row>
    <row r="93" spans="2:11">
      <c r="B93" s="1032" t="s">
        <v>1530</v>
      </c>
      <c r="C93" s="890"/>
      <c r="D93" s="836" t="s">
        <v>1531</v>
      </c>
      <c r="E93" s="4"/>
      <c r="F93" s="4"/>
      <c r="G93" s="4"/>
      <c r="H93" s="4"/>
      <c r="I93" s="63"/>
      <c r="J93" s="4"/>
      <c r="K93" s="4"/>
    </row>
    <row r="94" spans="2:11" ht="108">
      <c r="B94" s="1033"/>
      <c r="C94" s="890"/>
      <c r="D94" s="829" t="s">
        <v>2508</v>
      </c>
      <c r="E94" s="4"/>
      <c r="F94" s="4"/>
      <c r="G94" s="4"/>
      <c r="H94" s="4"/>
      <c r="I94" s="63"/>
      <c r="J94" s="4"/>
      <c r="K94" s="4"/>
    </row>
    <row r="95" spans="2:11">
      <c r="B95" s="1033"/>
      <c r="C95" s="890"/>
      <c r="D95" s="836" t="s">
        <v>1620</v>
      </c>
      <c r="E95" s="4"/>
      <c r="F95" s="4"/>
      <c r="G95" s="4"/>
      <c r="H95" s="4"/>
      <c r="I95" s="63"/>
      <c r="J95" s="4"/>
      <c r="K95" s="4"/>
    </row>
    <row r="96" spans="2:11">
      <c r="B96" s="1033"/>
      <c r="C96" s="890"/>
      <c r="D96" s="829" t="s">
        <v>1535</v>
      </c>
      <c r="E96" s="4"/>
      <c r="F96" s="4"/>
      <c r="G96" s="4"/>
      <c r="H96" s="4"/>
      <c r="I96" s="63"/>
      <c r="J96" s="4"/>
      <c r="K96" s="4"/>
    </row>
    <row r="97" spans="2:11">
      <c r="B97" s="1033"/>
      <c r="C97" s="890"/>
      <c r="D97" s="829" t="s">
        <v>1536</v>
      </c>
      <c r="E97" s="4"/>
      <c r="F97" s="4"/>
      <c r="G97" s="4"/>
      <c r="H97" s="4"/>
      <c r="I97" s="63"/>
      <c r="J97" s="4"/>
      <c r="K97" s="4"/>
    </row>
    <row r="98" spans="2:11">
      <c r="B98" s="1033"/>
      <c r="C98" s="890"/>
      <c r="D98" s="829" t="s">
        <v>2509</v>
      </c>
      <c r="E98" s="4"/>
      <c r="F98" s="4"/>
      <c r="G98" s="4"/>
      <c r="H98" s="4"/>
      <c r="I98" s="63"/>
      <c r="J98" s="4"/>
      <c r="K98" s="4"/>
    </row>
    <row r="99" spans="2:11" ht="24">
      <c r="B99" s="1033"/>
      <c r="C99" s="890"/>
      <c r="D99" s="829" t="s">
        <v>2510</v>
      </c>
      <c r="E99" s="4"/>
      <c r="F99" s="4"/>
      <c r="G99" s="4"/>
      <c r="H99" s="4"/>
      <c r="I99" s="63"/>
      <c r="J99" s="4"/>
      <c r="K99" s="4"/>
    </row>
    <row r="100" spans="2:11" ht="24">
      <c r="B100" s="1033"/>
      <c r="C100" s="890"/>
      <c r="D100" s="829" t="s">
        <v>2511</v>
      </c>
      <c r="E100" s="4"/>
      <c r="F100" s="4"/>
      <c r="G100" s="4"/>
      <c r="H100" s="4"/>
      <c r="I100" s="63"/>
      <c r="J100" s="4"/>
      <c r="K100" s="4"/>
    </row>
    <row r="101" spans="2:11" ht="24">
      <c r="B101" s="1033"/>
      <c r="C101" s="890"/>
      <c r="D101" s="829" t="s">
        <v>2512</v>
      </c>
      <c r="E101" s="4"/>
      <c r="F101" s="4"/>
      <c r="G101" s="4"/>
      <c r="H101" s="4"/>
      <c r="I101" s="63"/>
      <c r="J101" s="4"/>
      <c r="K101" s="4"/>
    </row>
    <row r="102" spans="2:11" ht="48">
      <c r="B102" s="1033"/>
      <c r="C102" s="890"/>
      <c r="D102" s="829" t="s">
        <v>2513</v>
      </c>
      <c r="E102" s="4"/>
      <c r="F102" s="4"/>
      <c r="G102" s="4"/>
      <c r="H102" s="4"/>
      <c r="I102" s="63"/>
      <c r="J102" s="4"/>
      <c r="K102" s="4"/>
    </row>
    <row r="103" spans="2:11" ht="36.75" thickBot="1">
      <c r="B103" s="1034"/>
      <c r="C103" s="857"/>
      <c r="D103" s="845" t="s">
        <v>2514</v>
      </c>
      <c r="E103" s="4"/>
      <c r="F103" s="4"/>
      <c r="G103" s="4"/>
      <c r="H103" s="4"/>
      <c r="I103" s="63"/>
      <c r="J103" s="4"/>
      <c r="K103" s="4"/>
    </row>
    <row r="104" spans="2:11" ht="24.75" thickBot="1">
      <c r="B104" s="839" t="s">
        <v>1543</v>
      </c>
      <c r="C104" s="857"/>
      <c r="D104" s="845"/>
      <c r="E104" s="4"/>
      <c r="F104" s="4"/>
      <c r="G104" s="4"/>
      <c r="H104" s="4"/>
      <c r="I104" s="63"/>
      <c r="J104" s="4"/>
      <c r="K104" s="4"/>
    </row>
    <row r="105" spans="2:11" ht="252">
      <c r="B105" s="1032" t="s">
        <v>1544</v>
      </c>
      <c r="C105" s="890"/>
      <c r="D105" s="829" t="s">
        <v>2515</v>
      </c>
      <c r="E105" s="4"/>
      <c r="F105" s="4"/>
      <c r="G105" s="4"/>
      <c r="H105" s="4"/>
      <c r="I105" s="63"/>
      <c r="J105" s="4"/>
      <c r="K105" s="4"/>
    </row>
    <row r="106" spans="2:11" ht="72">
      <c r="B106" s="1033"/>
      <c r="C106" s="890"/>
      <c r="D106" s="829" t="s">
        <v>2516</v>
      </c>
      <c r="E106" s="4"/>
      <c r="F106" s="4"/>
      <c r="G106" s="4"/>
      <c r="H106" s="4"/>
      <c r="I106" s="63"/>
      <c r="J106" s="4"/>
      <c r="K106" s="4"/>
    </row>
    <row r="107" spans="2:11" ht="72">
      <c r="B107" s="1033"/>
      <c r="C107" s="890"/>
      <c r="D107" s="829" t="s">
        <v>2517</v>
      </c>
      <c r="E107" s="4"/>
      <c r="F107" s="4"/>
      <c r="G107" s="4"/>
      <c r="H107" s="4"/>
      <c r="I107" s="63"/>
      <c r="J107" s="4"/>
      <c r="K107" s="4"/>
    </row>
    <row r="108" spans="2:11" ht="156">
      <c r="B108" s="1033"/>
      <c r="C108" s="890"/>
      <c r="D108" s="829" t="s">
        <v>2518</v>
      </c>
      <c r="E108" s="4"/>
      <c r="F108" s="4"/>
      <c r="G108" s="4"/>
      <c r="H108" s="4"/>
      <c r="I108" s="63"/>
      <c r="J108" s="4"/>
      <c r="K108" s="4"/>
    </row>
    <row r="109" spans="2:11" ht="168">
      <c r="B109" s="1033"/>
      <c r="C109" s="890"/>
      <c r="D109" s="829" t="s">
        <v>2519</v>
      </c>
      <c r="E109" s="4"/>
      <c r="F109" s="4"/>
      <c r="G109" s="4"/>
      <c r="H109" s="4"/>
      <c r="I109" s="63"/>
      <c r="J109" s="4"/>
      <c r="K109" s="4"/>
    </row>
    <row r="110" spans="2:11" ht="108">
      <c r="B110" s="1033"/>
      <c r="C110" s="890"/>
      <c r="D110" s="829" t="s">
        <v>2520</v>
      </c>
      <c r="E110" s="4"/>
      <c r="F110" s="4"/>
      <c r="G110" s="4"/>
      <c r="H110" s="4"/>
      <c r="I110" s="63"/>
      <c r="J110" s="4"/>
      <c r="K110" s="4"/>
    </row>
    <row r="111" spans="2:11" ht="60.75" thickBot="1">
      <c r="B111" s="1034"/>
      <c r="C111" s="857"/>
      <c r="D111" s="845" t="s">
        <v>2521</v>
      </c>
      <c r="E111" s="4"/>
      <c r="F111" s="4"/>
      <c r="G111" s="4"/>
      <c r="H111" s="4"/>
      <c r="I111" s="63"/>
      <c r="J111" s="4"/>
      <c r="K111" s="4"/>
    </row>
    <row r="112" spans="2:11" ht="36">
      <c r="B112" s="1032" t="s">
        <v>1561</v>
      </c>
      <c r="C112" s="890"/>
      <c r="D112" s="836" t="s">
        <v>756</v>
      </c>
      <c r="E112" s="4"/>
      <c r="F112" s="4"/>
      <c r="G112" s="4"/>
      <c r="H112" s="4"/>
      <c r="I112" s="63"/>
      <c r="J112" s="4"/>
      <c r="K112" s="4"/>
    </row>
    <row r="113" spans="2:11">
      <c r="B113" s="1033"/>
      <c r="C113" s="890"/>
      <c r="D113" s="826"/>
      <c r="E113" s="4"/>
      <c r="F113" s="4"/>
      <c r="G113" s="4"/>
      <c r="H113" s="4"/>
      <c r="I113" s="63"/>
      <c r="J113" s="4"/>
      <c r="K113" s="4"/>
    </row>
    <row r="114" spans="2:11">
      <c r="B114" s="1033"/>
      <c r="C114" s="890"/>
      <c r="D114" s="829" t="s">
        <v>1562</v>
      </c>
      <c r="E114" s="4"/>
      <c r="F114" s="4"/>
      <c r="G114" s="4"/>
      <c r="H114" s="4"/>
      <c r="I114" s="63"/>
      <c r="J114" s="4"/>
      <c r="K114" s="4"/>
    </row>
    <row r="115" spans="2:11" ht="24">
      <c r="B115" s="1033"/>
      <c r="C115" s="890"/>
      <c r="D115" s="829" t="s">
        <v>2522</v>
      </c>
      <c r="E115" s="4"/>
      <c r="F115" s="4"/>
      <c r="G115" s="4"/>
      <c r="H115" s="4"/>
      <c r="I115" s="63"/>
      <c r="J115" s="4"/>
      <c r="K115" s="4"/>
    </row>
    <row r="116" spans="2:11" ht="24">
      <c r="B116" s="1033"/>
      <c r="C116" s="890"/>
      <c r="D116" s="829" t="s">
        <v>2523</v>
      </c>
      <c r="E116" s="4"/>
      <c r="F116" s="4"/>
      <c r="G116" s="4"/>
      <c r="H116" s="4"/>
      <c r="I116" s="63"/>
      <c r="J116" s="4"/>
      <c r="K116" s="4"/>
    </row>
    <row r="117" spans="2:11" ht="60">
      <c r="B117" s="1033"/>
      <c r="C117" s="890"/>
      <c r="D117" s="829" t="s">
        <v>2524</v>
      </c>
      <c r="E117" s="4"/>
      <c r="F117" s="4"/>
      <c r="G117" s="4"/>
      <c r="H117" s="4"/>
      <c r="I117" s="63"/>
      <c r="J117" s="4"/>
      <c r="K117" s="4"/>
    </row>
    <row r="118" spans="2:11" ht="60">
      <c r="B118" s="1033"/>
      <c r="C118" s="890"/>
      <c r="D118" s="829" t="s">
        <v>2525</v>
      </c>
      <c r="E118" s="4"/>
      <c r="F118" s="4"/>
      <c r="G118" s="4"/>
      <c r="H118" s="4"/>
      <c r="I118" s="63"/>
      <c r="J118" s="4"/>
      <c r="K118" s="4"/>
    </row>
    <row r="119" spans="2:11" ht="60">
      <c r="B119" s="1033"/>
      <c r="C119" s="890"/>
      <c r="D119" s="44" t="s">
        <v>2526</v>
      </c>
      <c r="E119" s="4"/>
      <c r="F119" s="4"/>
      <c r="G119" s="4"/>
      <c r="H119" s="4"/>
      <c r="I119" s="63"/>
      <c r="J119" s="4"/>
      <c r="K119" s="4"/>
    </row>
    <row r="120" spans="2:11" ht="36">
      <c r="B120" s="1033"/>
      <c r="C120" s="890"/>
      <c r="D120" s="829" t="s">
        <v>2527</v>
      </c>
      <c r="E120" s="4"/>
      <c r="F120" s="4"/>
      <c r="G120" s="4"/>
      <c r="H120" s="4"/>
      <c r="I120" s="63"/>
      <c r="J120" s="4"/>
      <c r="K120" s="4"/>
    </row>
    <row r="121" spans="2:11" ht="36">
      <c r="B121" s="1033"/>
      <c r="C121" s="890"/>
      <c r="D121" s="829" t="s">
        <v>2528</v>
      </c>
      <c r="E121" s="4"/>
      <c r="F121" s="4"/>
      <c r="G121" s="4"/>
      <c r="H121" s="4"/>
      <c r="I121" s="63"/>
      <c r="J121" s="4"/>
      <c r="K121" s="4"/>
    </row>
    <row r="122" spans="2:11" ht="36">
      <c r="B122" s="1033"/>
      <c r="C122" s="890"/>
      <c r="D122" s="829" t="s">
        <v>2529</v>
      </c>
      <c r="E122" s="4"/>
      <c r="F122" s="4"/>
      <c r="G122" s="4"/>
      <c r="H122" s="4"/>
      <c r="I122" s="63"/>
      <c r="J122" s="4"/>
      <c r="K122" s="4"/>
    </row>
    <row r="123" spans="2:11" ht="36">
      <c r="B123" s="1033"/>
      <c r="C123" s="890"/>
      <c r="D123" s="829" t="s">
        <v>2530</v>
      </c>
      <c r="E123" s="4"/>
      <c r="F123" s="4"/>
      <c r="G123" s="4"/>
      <c r="H123" s="4"/>
      <c r="I123" s="63"/>
      <c r="J123" s="4"/>
      <c r="K123" s="4"/>
    </row>
    <row r="124" spans="2:11" ht="36.75" thickBot="1">
      <c r="B124" s="1034"/>
      <c r="C124" s="857"/>
      <c r="D124" s="845" t="s">
        <v>2531</v>
      </c>
      <c r="E124" s="4"/>
      <c r="F124" s="4"/>
      <c r="G124" s="4"/>
      <c r="H124" s="4"/>
      <c r="I124" s="63"/>
      <c r="J124" s="4"/>
      <c r="K124" s="4"/>
    </row>
    <row r="125" spans="2:11">
      <c r="B125" s="4"/>
      <c r="D125" s="4"/>
      <c r="E125" s="4"/>
      <c r="F125" s="4"/>
      <c r="G125" s="4"/>
      <c r="H125" s="4"/>
      <c r="I125" s="63"/>
      <c r="J125" s="4"/>
      <c r="K125" s="4"/>
    </row>
    <row r="126" spans="2:11">
      <c r="B126" s="4"/>
      <c r="D126" s="4"/>
      <c r="E126" s="4"/>
      <c r="F126" s="4"/>
      <c r="G126" s="4"/>
      <c r="H126" s="4"/>
      <c r="I126" s="63"/>
      <c r="J126" s="4"/>
      <c r="K126" s="4"/>
    </row>
    <row r="127" spans="2:11">
      <c r="B127" s="4"/>
      <c r="D127" s="4"/>
      <c r="E127" s="4"/>
      <c r="F127" s="4"/>
      <c r="G127" s="4"/>
      <c r="H127" s="4"/>
      <c r="I127" s="63"/>
      <c r="J127" s="4"/>
      <c r="K127" s="4"/>
    </row>
    <row r="128" spans="2:11">
      <c r="B128" s="4"/>
      <c r="D128" s="4"/>
      <c r="E128" s="4"/>
      <c r="F128" s="4"/>
      <c r="G128" s="4"/>
      <c r="H128" s="4"/>
      <c r="I128" s="63"/>
      <c r="J128" s="4"/>
      <c r="K128" s="4"/>
    </row>
    <row r="129" spans="2:11">
      <c r="B129" s="4"/>
      <c r="D129" s="4"/>
      <c r="E129" s="4"/>
      <c r="F129" s="4"/>
      <c r="G129" s="4"/>
      <c r="H129" s="4"/>
      <c r="I129" s="63"/>
      <c r="J129" s="4"/>
      <c r="K129" s="4"/>
    </row>
    <row r="130" spans="2:11">
      <c r="B130" s="4"/>
      <c r="D130" s="4"/>
      <c r="E130" s="4"/>
      <c r="F130" s="4"/>
      <c r="G130" s="4"/>
      <c r="H130" s="4"/>
      <c r="I130" s="63"/>
      <c r="J130" s="4"/>
      <c r="K130" s="4"/>
    </row>
    <row r="131" spans="2:11">
      <c r="B131" s="4"/>
      <c r="D131" s="4"/>
      <c r="E131" s="4"/>
      <c r="F131" s="4"/>
      <c r="G131" s="4"/>
      <c r="H131" s="4"/>
      <c r="I131" s="63"/>
      <c r="J131" s="4"/>
      <c r="K131" s="4"/>
    </row>
    <row r="132" spans="2:11">
      <c r="B132" s="4"/>
      <c r="D132" s="4"/>
      <c r="E132" s="4"/>
      <c r="F132" s="4"/>
      <c r="G132" s="4"/>
      <c r="H132" s="4"/>
      <c r="I132" s="63"/>
      <c r="J132" s="4"/>
      <c r="K132" s="4"/>
    </row>
    <row r="133" spans="2:11">
      <c r="B133" s="4"/>
      <c r="D133" s="4"/>
      <c r="E133" s="4"/>
      <c r="F133" s="4"/>
      <c r="G133" s="4"/>
      <c r="H133" s="4"/>
      <c r="I133" s="63"/>
      <c r="J133" s="4"/>
      <c r="K133" s="4"/>
    </row>
    <row r="134" spans="2:11">
      <c r="B134" s="4"/>
      <c r="D134" s="4"/>
      <c r="E134" s="4"/>
      <c r="F134" s="4"/>
      <c r="G134" s="4"/>
      <c r="H134" s="4"/>
      <c r="I134" s="63"/>
      <c r="J134" s="4"/>
      <c r="K134" s="4"/>
    </row>
    <row r="135" spans="2:11">
      <c r="B135" s="4"/>
      <c r="D135" s="4"/>
      <c r="E135" s="4"/>
      <c r="F135" s="4"/>
      <c r="G135" s="4"/>
      <c r="H135" s="4"/>
      <c r="I135" s="63"/>
      <c r="J135" s="4"/>
      <c r="K135" s="4"/>
    </row>
    <row r="136" spans="2:11">
      <c r="B136" s="4"/>
      <c r="D136" s="4"/>
      <c r="E136" s="4"/>
      <c r="F136" s="4"/>
      <c r="G136" s="4"/>
      <c r="H136" s="4"/>
      <c r="I136" s="63"/>
      <c r="J136" s="4"/>
      <c r="K136" s="4"/>
    </row>
    <row r="137" spans="2:11">
      <c r="B137" s="4"/>
      <c r="D137" s="4"/>
      <c r="E137" s="4"/>
      <c r="F137" s="4"/>
      <c r="G137" s="4"/>
      <c r="H137" s="4"/>
      <c r="I137" s="63"/>
      <c r="J137" s="4"/>
      <c r="K137" s="4"/>
    </row>
    <row r="138" spans="2:11">
      <c r="B138" s="4"/>
      <c r="D138" s="4"/>
      <c r="E138" s="4"/>
      <c r="F138" s="4"/>
      <c r="G138" s="4"/>
      <c r="H138" s="4"/>
      <c r="I138" s="63"/>
      <c r="J138" s="4"/>
      <c r="K138" s="4"/>
    </row>
    <row r="139" spans="2:11">
      <c r="B139" s="4"/>
      <c r="D139" s="4"/>
      <c r="E139" s="4"/>
      <c r="F139" s="4"/>
      <c r="G139" s="4"/>
      <c r="H139" s="4"/>
      <c r="I139" s="63"/>
      <c r="J139" s="4"/>
      <c r="K139" s="4"/>
    </row>
    <row r="140" spans="2:11">
      <c r="B140" s="4"/>
      <c r="D140" s="4"/>
      <c r="E140" s="4"/>
      <c r="F140" s="4"/>
      <c r="G140" s="4"/>
      <c r="H140" s="4"/>
      <c r="I140" s="63"/>
      <c r="J140" s="4"/>
      <c r="K140" s="4"/>
    </row>
    <row r="141" spans="2:11">
      <c r="B141" s="4"/>
      <c r="D141" s="4"/>
      <c r="E141" s="4"/>
      <c r="F141" s="4"/>
      <c r="G141" s="4"/>
      <c r="H141" s="4"/>
      <c r="I141" s="63"/>
      <c r="J141" s="4"/>
      <c r="K141" s="4"/>
    </row>
    <row r="142" spans="2:11">
      <c r="B142" s="4"/>
      <c r="D142" s="4"/>
      <c r="E142" s="4"/>
      <c r="F142" s="4"/>
      <c r="G142" s="4"/>
      <c r="H142" s="4"/>
      <c r="I142" s="63"/>
      <c r="J142" s="4"/>
      <c r="K142" s="4"/>
    </row>
    <row r="143" spans="2:11">
      <c r="B143" s="4"/>
      <c r="D143" s="4"/>
      <c r="E143" s="4"/>
      <c r="F143" s="4"/>
      <c r="G143" s="4"/>
      <c r="H143" s="4"/>
      <c r="I143" s="63"/>
      <c r="J143" s="4"/>
      <c r="K143" s="4"/>
    </row>
    <row r="144" spans="2:11">
      <c r="B144" s="4"/>
      <c r="D144" s="4"/>
      <c r="E144" s="4"/>
      <c r="F144" s="4"/>
      <c r="G144" s="4"/>
      <c r="H144" s="4"/>
      <c r="I144" s="63"/>
      <c r="J144" s="4"/>
      <c r="K144" s="4"/>
    </row>
    <row r="145" spans="2:11">
      <c r="B145" s="4"/>
      <c r="D145" s="4"/>
      <c r="E145" s="4"/>
      <c r="F145" s="4"/>
      <c r="G145" s="4"/>
      <c r="H145" s="4"/>
      <c r="I145" s="63"/>
      <c r="J145" s="4"/>
      <c r="K145" s="4"/>
    </row>
    <row r="146" spans="2:11">
      <c r="B146" s="4"/>
      <c r="D146" s="4"/>
      <c r="E146" s="4"/>
      <c r="F146" s="4"/>
      <c r="G146" s="4"/>
      <c r="H146" s="4"/>
      <c r="I146" s="63"/>
      <c r="J146" s="4"/>
      <c r="K146" s="4"/>
    </row>
    <row r="147" spans="2:11">
      <c r="B147" s="4"/>
      <c r="D147" s="4"/>
      <c r="E147" s="4"/>
      <c r="F147" s="4"/>
      <c r="G147" s="4"/>
      <c r="H147" s="4"/>
      <c r="I147" s="63"/>
      <c r="J147" s="4"/>
      <c r="K147" s="4"/>
    </row>
    <row r="148" spans="2:11">
      <c r="B148" s="4"/>
      <c r="D148" s="4"/>
      <c r="E148" s="4"/>
      <c r="F148" s="4"/>
      <c r="G148" s="4"/>
      <c r="H148" s="4"/>
      <c r="I148" s="63"/>
      <c r="J148" s="4"/>
      <c r="K148" s="4"/>
    </row>
    <row r="149" spans="2:11">
      <c r="B149" s="4"/>
      <c r="D149" s="4"/>
      <c r="E149" s="4"/>
      <c r="F149" s="4"/>
      <c r="G149" s="4"/>
      <c r="H149" s="4"/>
      <c r="I149" s="63"/>
      <c r="J149" s="4"/>
      <c r="K149" s="4"/>
    </row>
    <row r="150" spans="2:11">
      <c r="B150" s="4"/>
      <c r="D150" s="4"/>
      <c r="E150" s="4"/>
      <c r="F150" s="4"/>
      <c r="G150" s="4"/>
      <c r="H150" s="4"/>
      <c r="I150" s="63"/>
      <c r="J150" s="4"/>
      <c r="K150" s="4"/>
    </row>
    <row r="151" spans="2:11">
      <c r="B151" s="4"/>
      <c r="D151" s="4"/>
      <c r="E151" s="4"/>
      <c r="F151" s="4"/>
      <c r="G151" s="4"/>
      <c r="H151" s="4"/>
      <c r="I151" s="63"/>
      <c r="J151" s="4"/>
      <c r="K151" s="4"/>
    </row>
    <row r="152" spans="2:11">
      <c r="B152" s="4"/>
      <c r="D152" s="4"/>
      <c r="E152" s="4"/>
      <c r="F152" s="4"/>
      <c r="G152" s="4"/>
      <c r="H152" s="4"/>
      <c r="I152" s="63"/>
      <c r="J152" s="4"/>
      <c r="K152" s="4"/>
    </row>
    <row r="153" spans="2:11">
      <c r="B153" s="4"/>
      <c r="D153" s="4"/>
      <c r="E153" s="4"/>
      <c r="F153" s="4"/>
      <c r="G153" s="4"/>
      <c r="H153" s="4"/>
      <c r="I153" s="63"/>
      <c r="J153" s="4"/>
      <c r="K153" s="4"/>
    </row>
    <row r="154" spans="2:11">
      <c r="B154" s="4"/>
      <c r="D154" s="4"/>
      <c r="E154" s="4"/>
      <c r="F154" s="4"/>
      <c r="G154" s="4"/>
      <c r="H154" s="4"/>
      <c r="I154" s="63"/>
      <c r="J154" s="4"/>
      <c r="K154" s="4"/>
    </row>
    <row r="155" spans="2:11">
      <c r="B155" s="4"/>
      <c r="D155" s="4"/>
      <c r="E155" s="4"/>
      <c r="F155" s="4"/>
      <c r="G155" s="4"/>
      <c r="H155" s="4"/>
      <c r="I155" s="63"/>
      <c r="J155" s="4"/>
      <c r="K155" s="4"/>
    </row>
    <row r="156" spans="2:11">
      <c r="B156" s="4"/>
      <c r="D156" s="4"/>
      <c r="E156" s="4"/>
      <c r="F156" s="4"/>
      <c r="G156" s="4"/>
      <c r="H156" s="4"/>
      <c r="I156" s="63"/>
      <c r="J156" s="4"/>
      <c r="K156" s="4"/>
    </row>
    <row r="157" spans="2:11">
      <c r="B157" s="4"/>
      <c r="D157" s="4"/>
      <c r="E157" s="4"/>
      <c r="F157" s="4"/>
      <c r="G157" s="4"/>
      <c r="H157" s="4"/>
      <c r="I157" s="63"/>
      <c r="J157" s="4"/>
      <c r="K157" s="4"/>
    </row>
    <row r="158" spans="2:11">
      <c r="B158" s="4"/>
      <c r="D158" s="4"/>
      <c r="E158" s="4"/>
      <c r="F158" s="4"/>
      <c r="G158" s="4"/>
      <c r="H158" s="4"/>
      <c r="I158" s="63"/>
      <c r="J158" s="4"/>
      <c r="K158" s="4"/>
    </row>
    <row r="159" spans="2:11">
      <c r="B159" s="4"/>
      <c r="D159" s="4"/>
      <c r="E159" s="4"/>
      <c r="F159" s="4"/>
      <c r="G159" s="4"/>
      <c r="H159" s="4"/>
      <c r="I159" s="63"/>
      <c r="J159" s="4"/>
      <c r="K159" s="4"/>
    </row>
    <row r="160" spans="2:11">
      <c r="B160" s="4"/>
      <c r="D160" s="4"/>
      <c r="E160" s="4"/>
      <c r="F160" s="4"/>
      <c r="G160" s="4"/>
      <c r="H160" s="4"/>
      <c r="I160" s="63"/>
      <c r="J160" s="4"/>
      <c r="K160" s="4"/>
    </row>
    <row r="161" spans="2:11">
      <c r="B161" s="4"/>
      <c r="D161" s="4"/>
      <c r="E161" s="4"/>
      <c r="F161" s="4"/>
      <c r="G161" s="4"/>
      <c r="H161" s="4"/>
      <c r="I161" s="63"/>
      <c r="J161" s="4"/>
      <c r="K161" s="4"/>
    </row>
    <row r="162" spans="2:11">
      <c r="B162" s="4"/>
      <c r="D162" s="4"/>
      <c r="E162" s="4"/>
      <c r="F162" s="4"/>
      <c r="G162" s="4"/>
      <c r="H162" s="4"/>
      <c r="I162" s="63"/>
      <c r="J162" s="4"/>
      <c r="K162" s="4"/>
    </row>
    <row r="163" spans="2:11">
      <c r="B163" s="4"/>
      <c r="D163" s="4"/>
      <c r="E163" s="4"/>
      <c r="F163" s="4"/>
      <c r="G163" s="4"/>
      <c r="H163" s="4"/>
      <c r="I163" s="63"/>
      <c r="J163" s="4"/>
      <c r="K163" s="4"/>
    </row>
    <row r="164" spans="2:11">
      <c r="B164" s="4"/>
      <c r="D164" s="4"/>
      <c r="E164" s="4"/>
      <c r="F164" s="4"/>
      <c r="G164" s="4"/>
      <c r="H164" s="4"/>
      <c r="I164" s="63"/>
      <c r="J164" s="4"/>
      <c r="K164" s="4"/>
    </row>
    <row r="165" spans="2:11">
      <c r="B165" s="4"/>
      <c r="D165" s="4"/>
      <c r="E165" s="4"/>
      <c r="F165" s="4"/>
      <c r="G165" s="4"/>
      <c r="H165" s="4"/>
      <c r="I165" s="63"/>
      <c r="J165" s="4"/>
      <c r="K165" s="4"/>
    </row>
    <row r="166" spans="2:11">
      <c r="B166" s="4"/>
      <c r="D166" s="4"/>
      <c r="E166" s="4"/>
      <c r="F166" s="4"/>
      <c r="G166" s="4"/>
      <c r="H166" s="4"/>
      <c r="I166" s="63"/>
      <c r="J166" s="4"/>
      <c r="K166" s="4"/>
    </row>
    <row r="167" spans="2:11">
      <c r="B167" s="4"/>
      <c r="D167" s="4"/>
      <c r="E167" s="4"/>
      <c r="F167" s="4"/>
      <c r="G167" s="4"/>
      <c r="H167" s="4"/>
      <c r="I167" s="63"/>
      <c r="J167" s="4"/>
      <c r="K167" s="4"/>
    </row>
    <row r="168" spans="2:11">
      <c r="B168" s="4"/>
      <c r="D168" s="4"/>
      <c r="E168" s="4"/>
      <c r="F168" s="4"/>
      <c r="G168" s="4"/>
      <c r="H168" s="4"/>
      <c r="I168" s="63"/>
      <c r="J168" s="4"/>
      <c r="K168" s="4"/>
    </row>
    <row r="169" spans="2:11">
      <c r="B169" s="4"/>
      <c r="D169" s="4"/>
      <c r="E169" s="4"/>
      <c r="F169" s="4"/>
      <c r="G169" s="4"/>
      <c r="H169" s="4"/>
      <c r="I169" s="63"/>
      <c r="J169" s="4"/>
      <c r="K169" s="4"/>
    </row>
    <row r="170" spans="2:11">
      <c r="B170" s="4"/>
      <c r="D170" s="4"/>
      <c r="E170" s="4"/>
      <c r="F170" s="4"/>
      <c r="G170" s="4"/>
      <c r="H170" s="4"/>
      <c r="I170" s="63"/>
      <c r="J170" s="4"/>
      <c r="K170" s="4"/>
    </row>
    <row r="171" spans="2:11">
      <c r="B171" s="4"/>
      <c r="D171" s="4"/>
      <c r="E171" s="4"/>
      <c r="F171" s="4"/>
      <c r="G171" s="4"/>
      <c r="H171" s="4"/>
      <c r="I171" s="63"/>
      <c r="J171" s="4"/>
      <c r="K171" s="4"/>
    </row>
    <row r="172" spans="2:11">
      <c r="B172" s="4"/>
      <c r="D172" s="4"/>
      <c r="E172" s="4"/>
      <c r="F172" s="4"/>
      <c r="G172" s="4"/>
      <c r="H172" s="4"/>
      <c r="I172" s="63"/>
      <c r="J172" s="4"/>
      <c r="K172" s="4"/>
    </row>
    <row r="173" spans="2:11">
      <c r="B173" s="4"/>
      <c r="D173" s="4"/>
      <c r="E173" s="4"/>
      <c r="F173" s="4"/>
      <c r="G173" s="4"/>
      <c r="H173" s="4"/>
      <c r="I173" s="63"/>
      <c r="J173" s="4"/>
      <c r="K173" s="4"/>
    </row>
    <row r="174" spans="2:11">
      <c r="B174" s="4"/>
      <c r="D174" s="4"/>
      <c r="E174" s="4"/>
      <c r="F174" s="4"/>
      <c r="G174" s="4"/>
      <c r="H174" s="4"/>
      <c r="I174" s="63"/>
      <c r="J174" s="4"/>
      <c r="K174" s="4"/>
    </row>
    <row r="175" spans="2:11">
      <c r="B175" s="4"/>
      <c r="D175" s="4"/>
      <c r="E175" s="4"/>
      <c r="F175" s="4"/>
      <c r="G175" s="4"/>
      <c r="H175" s="4"/>
      <c r="I175" s="63"/>
      <c r="J175" s="4"/>
      <c r="K175" s="4"/>
    </row>
    <row r="176" spans="2:11">
      <c r="B176" s="4"/>
      <c r="D176" s="4"/>
      <c r="E176" s="4"/>
      <c r="F176" s="4"/>
      <c r="G176" s="4"/>
      <c r="H176" s="4"/>
      <c r="I176" s="63"/>
      <c r="J176" s="4"/>
      <c r="K176" s="4"/>
    </row>
    <row r="177" spans="2:11">
      <c r="B177" s="4"/>
      <c r="D177" s="4"/>
      <c r="E177" s="4"/>
      <c r="F177" s="4"/>
      <c r="G177" s="4"/>
      <c r="H177" s="4"/>
      <c r="I177" s="63"/>
      <c r="J177" s="4"/>
      <c r="K177" s="4"/>
    </row>
    <row r="178" spans="2:11">
      <c r="B178" s="4"/>
      <c r="D178" s="4"/>
      <c r="E178" s="4"/>
      <c r="F178" s="4"/>
      <c r="G178" s="4"/>
      <c r="H178" s="4"/>
      <c r="I178" s="63"/>
      <c r="J178" s="4"/>
      <c r="K178" s="4"/>
    </row>
    <row r="179" spans="2:11">
      <c r="B179" s="4"/>
      <c r="D179" s="4"/>
      <c r="E179" s="4"/>
      <c r="F179" s="4"/>
      <c r="G179" s="4"/>
      <c r="H179" s="4"/>
      <c r="I179" s="63"/>
      <c r="J179" s="4"/>
      <c r="K179" s="4"/>
    </row>
    <row r="180" spans="2:11">
      <c r="B180" s="4"/>
      <c r="D180" s="4"/>
      <c r="E180" s="4"/>
      <c r="F180" s="4"/>
      <c r="G180" s="4"/>
      <c r="H180" s="4"/>
      <c r="I180" s="63"/>
      <c r="J180" s="4"/>
      <c r="K180" s="4"/>
    </row>
    <row r="181" spans="2:11">
      <c r="B181" s="4"/>
      <c r="D181" s="4"/>
      <c r="E181" s="4"/>
      <c r="F181" s="4"/>
      <c r="G181" s="4"/>
      <c r="H181" s="4"/>
      <c r="I181" s="63"/>
      <c r="J181" s="4"/>
      <c r="K181" s="4"/>
    </row>
    <row r="182" spans="2:11">
      <c r="B182" s="4"/>
      <c r="D182" s="4"/>
      <c r="E182" s="4"/>
      <c r="F182" s="4"/>
      <c r="G182" s="4"/>
      <c r="H182" s="4"/>
      <c r="I182" s="63"/>
      <c r="J182" s="4"/>
      <c r="K182" s="4"/>
    </row>
    <row r="183" spans="2:11">
      <c r="B183" s="4"/>
      <c r="D183" s="4"/>
      <c r="E183" s="4"/>
      <c r="F183" s="4"/>
      <c r="G183" s="4"/>
      <c r="H183" s="4"/>
      <c r="I183" s="63"/>
      <c r="J183" s="4"/>
      <c r="K183" s="4"/>
    </row>
    <row r="184" spans="2:11">
      <c r="B184" s="4"/>
      <c r="D184" s="4"/>
      <c r="E184" s="4"/>
      <c r="F184" s="4"/>
      <c r="G184" s="4"/>
      <c r="H184" s="4"/>
      <c r="I184" s="63"/>
      <c r="J184" s="4"/>
      <c r="K184" s="4"/>
    </row>
    <row r="185" spans="2:11">
      <c r="B185" s="4"/>
      <c r="D185" s="4"/>
      <c r="E185" s="4"/>
      <c r="F185" s="4"/>
      <c r="G185" s="4"/>
      <c r="H185" s="4"/>
      <c r="I185" s="63"/>
      <c r="J185" s="4"/>
      <c r="K185" s="4"/>
    </row>
    <row r="186" spans="2:11">
      <c r="B186" s="4"/>
      <c r="D186" s="4"/>
      <c r="E186" s="4"/>
      <c r="F186" s="4"/>
      <c r="G186" s="4"/>
      <c r="H186" s="4"/>
      <c r="I186" s="63"/>
      <c r="J186" s="4"/>
      <c r="K186" s="4"/>
    </row>
    <row r="187" spans="2:11">
      <c r="B187" s="4"/>
      <c r="D187" s="4"/>
      <c r="E187" s="4"/>
      <c r="F187" s="4"/>
      <c r="G187" s="4"/>
      <c r="H187" s="4"/>
      <c r="I187" s="63"/>
      <c r="J187" s="4"/>
      <c r="K187" s="4"/>
    </row>
    <row r="188" spans="2:11">
      <c r="B188" s="4"/>
      <c r="D188" s="4"/>
      <c r="E188" s="4"/>
      <c r="F188" s="4"/>
      <c r="G188" s="4"/>
      <c r="H188" s="4"/>
      <c r="I188" s="63"/>
      <c r="J188" s="4"/>
      <c r="K188" s="4"/>
    </row>
    <row r="189" spans="2:11">
      <c r="B189" s="4"/>
      <c r="D189" s="4"/>
      <c r="E189" s="4"/>
      <c r="F189" s="4"/>
      <c r="G189" s="4"/>
      <c r="H189" s="4"/>
      <c r="I189" s="63"/>
      <c r="J189" s="4"/>
      <c r="K189" s="4"/>
    </row>
  </sheetData>
  <sheetProtection insertColumns="0" insertRows="0"/>
  <mergeCells count="37">
    <mergeCell ref="A1:P1"/>
    <mergeCell ref="A2:P2"/>
    <mergeCell ref="A3:P3"/>
    <mergeCell ref="A4:D4"/>
    <mergeCell ref="A5:P5"/>
    <mergeCell ref="B86:D87"/>
    <mergeCell ref="D61:I61"/>
    <mergeCell ref="B63:E63"/>
    <mergeCell ref="B64:B70"/>
    <mergeCell ref="B72:E72"/>
    <mergeCell ref="B73:B79"/>
    <mergeCell ref="D38:I38"/>
    <mergeCell ref="D43:I43"/>
    <mergeCell ref="D44:I44"/>
    <mergeCell ref="D45:I45"/>
    <mergeCell ref="D60:I60"/>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B10:D10"/>
    <mergeCell ref="F10:S10"/>
    <mergeCell ref="F11:S11"/>
    <mergeCell ref="E12:R12"/>
    <mergeCell ref="E13:R13"/>
  </mergeCells>
  <conditionalFormatting sqref="F10">
    <cfRule type="notContainsBlanks" dxfId="42" priority="4">
      <formula>LEN(TRIM(F10))&gt;0</formula>
    </cfRule>
  </conditionalFormatting>
  <conditionalFormatting sqref="F11:S11">
    <cfRule type="expression" dxfId="41" priority="2">
      <formula>E11="NO SE REPORTA"</formula>
    </cfRule>
    <cfRule type="expression" dxfId="40" priority="3">
      <formula>E10="NO APLICA"</formula>
    </cfRule>
  </conditionalFormatting>
  <conditionalFormatting sqref="E12:R12">
    <cfRule type="expression" dxfId="39" priority="1">
      <formula>E11="SI SE REPORTA"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xr:uid="{00000000-0002-0000-1D00-000000000000}">
      <formula1>0</formula1>
    </dataValidation>
    <dataValidation allowBlank="1" showInputMessage="1" showErrorMessage="1" sqref="E49:H49 E52:E57 G52:G57 F57 E21:H21 I26:I28 E28:H28 E35:I35 I33:I34 I40:I42 E42:H42 I47:I49" xr:uid="{00000000-0002-0000-1D00-000001000000}"/>
    <dataValidation type="list" allowBlank="1" showInputMessage="1" showErrorMessage="1" sqref="E11" xr:uid="{00000000-0002-0000-1D00-000002000000}">
      <formula1>REPORTE</formula1>
    </dataValidation>
    <dataValidation type="list" allowBlank="1" showInputMessage="1" showErrorMessage="1" sqref="E10" xr:uid="{00000000-0002-0000-1D00-000003000000}">
      <formula1>SI</formula1>
    </dataValidation>
  </dataValidations>
  <hyperlinks>
    <hyperlink ref="B9" location="'ANEXO 3'!A1" display="VOLVER AL INDICE" xr:uid="{00000000-0004-0000-1D00-000000000000}"/>
    <hyperlink ref="E68" r:id="rId1" xr:uid="{00000000-0004-0000-1D00-000001000000}"/>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U197"/>
  <sheetViews>
    <sheetView showGridLines="0" topLeftCell="A16" zoomScale="98" zoomScaleNormal="98" workbookViewId="0">
      <selection activeCell="E23" sqref="E23"/>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8" width="10.7109375" style="241"/>
    <col min="9" max="9" width="10.7109375" style="94"/>
    <col min="10"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757</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63"/>
      <c r="J6" s="4"/>
      <c r="K6" s="4"/>
    </row>
    <row r="7" spans="1:21" ht="15.75" thickBot="1">
      <c r="B7" s="702"/>
      <c r="C7" s="706"/>
      <c r="D7" s="4"/>
      <c r="E7" s="13"/>
      <c r="F7" s="4" t="s">
        <v>1439</v>
      </c>
      <c r="G7" s="4"/>
      <c r="H7" s="4"/>
      <c r="I7" s="63"/>
      <c r="J7" s="4"/>
      <c r="K7" s="4"/>
    </row>
    <row r="8" spans="1:21" ht="15.75" thickBot="1">
      <c r="B8" s="132" t="s">
        <v>1440</v>
      </c>
      <c r="C8" s="164">
        <v>2020</v>
      </c>
      <c r="D8" s="169">
        <f>IF(E10="NO APLICA","NO APLICA",IF(E11="NO SE REPORTA","SIN INFORMACION",+G122))</f>
        <v>0.93123876123876126</v>
      </c>
      <c r="E8" s="165"/>
      <c r="F8" s="4" t="s">
        <v>1441</v>
      </c>
      <c r="G8" s="4"/>
      <c r="H8" s="4"/>
      <c r="I8" s="63"/>
      <c r="J8" s="4"/>
      <c r="K8" s="4"/>
    </row>
    <row r="9" spans="1:21">
      <c r="B9" s="300" t="s">
        <v>1442</v>
      </c>
      <c r="C9" s="64"/>
      <c r="D9" s="4"/>
      <c r="E9" s="4"/>
      <c r="F9" s="4"/>
      <c r="G9" s="4"/>
      <c r="H9" s="4"/>
      <c r="I9" s="63"/>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2473</v>
      </c>
      <c r="F12" s="1056"/>
      <c r="G12" s="1056"/>
      <c r="H12" s="1056"/>
      <c r="I12" s="1056"/>
      <c r="J12" s="1056"/>
      <c r="K12" s="1056"/>
      <c r="L12" s="1056"/>
      <c r="M12" s="1056"/>
      <c r="N12" s="1056"/>
      <c r="O12" s="1056"/>
      <c r="P12" s="1056"/>
      <c r="Q12" s="1056"/>
      <c r="R12" s="1056"/>
    </row>
    <row r="13" spans="1:21" ht="71.25" customHeight="1">
      <c r="B13" s="300"/>
      <c r="C13" s="64"/>
      <c r="D13" s="132" t="s">
        <v>1447</v>
      </c>
      <c r="E13" s="1057" t="s">
        <v>2532</v>
      </c>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63"/>
      <c r="J14" s="4"/>
      <c r="K14" s="4"/>
    </row>
    <row r="15" spans="1:21">
      <c r="B15" s="1032" t="s">
        <v>1449</v>
      </c>
      <c r="C15" s="65"/>
      <c r="D15" s="1009" t="s">
        <v>1450</v>
      </c>
      <c r="E15" s="1010"/>
      <c r="F15" s="1010"/>
      <c r="G15" s="1010"/>
      <c r="H15" s="1010"/>
      <c r="I15" s="1011"/>
      <c r="J15" s="4"/>
      <c r="K15" s="4"/>
    </row>
    <row r="16" spans="1:21">
      <c r="B16" s="1033"/>
      <c r="C16" s="68"/>
      <c r="D16" s="1174" t="s">
        <v>2533</v>
      </c>
      <c r="E16" s="1175"/>
      <c r="F16" s="1175"/>
      <c r="G16" s="1175"/>
      <c r="H16" s="1175"/>
      <c r="I16" s="1176"/>
      <c r="J16" s="4"/>
      <c r="K16" s="4"/>
    </row>
    <row r="17" spans="2:11" ht="15.75" thickBot="1">
      <c r="B17" s="1033"/>
      <c r="C17" s="68"/>
      <c r="D17" s="1015"/>
      <c r="E17" s="1016"/>
      <c r="F17" s="1016"/>
      <c r="G17" s="1016"/>
      <c r="H17" s="1016"/>
      <c r="I17" s="1017"/>
      <c r="J17" s="4"/>
      <c r="K17" s="4"/>
    </row>
    <row r="18" spans="2:11" ht="36.75" thickBot="1">
      <c r="B18" s="1033"/>
      <c r="C18" s="890"/>
      <c r="D18" s="842" t="s">
        <v>2534</v>
      </c>
      <c r="E18" s="108">
        <v>188</v>
      </c>
      <c r="F18" s="4"/>
      <c r="G18" s="4"/>
      <c r="H18" s="4"/>
      <c r="I18" s="756"/>
      <c r="J18" s="4"/>
      <c r="K18" s="4"/>
    </row>
    <row r="19" spans="2:11" ht="36.75" thickBot="1">
      <c r="B19" s="1033"/>
      <c r="C19" s="890"/>
      <c r="D19" s="845" t="s">
        <v>2535</v>
      </c>
      <c r="E19" s="108">
        <v>188</v>
      </c>
      <c r="F19" s="4"/>
      <c r="G19" s="4"/>
      <c r="H19" s="4"/>
      <c r="I19" s="756"/>
      <c r="J19" s="4"/>
      <c r="K19" s="4"/>
    </row>
    <row r="20" spans="2:11" ht="15.75" thickBot="1">
      <c r="B20" s="1033"/>
      <c r="C20" s="68"/>
      <c r="D20" s="1044"/>
      <c r="E20" s="1045"/>
      <c r="F20" s="1045"/>
      <c r="G20" s="1045"/>
      <c r="H20" s="1045"/>
      <c r="I20" s="1046"/>
      <c r="J20" s="4"/>
      <c r="K20" s="4"/>
    </row>
    <row r="21" spans="2:11" ht="15.75" thickBot="1">
      <c r="B21" s="1033"/>
      <c r="C21" s="890"/>
      <c r="D21" s="842" t="s">
        <v>1603</v>
      </c>
      <c r="E21" s="872" t="s">
        <v>1487</v>
      </c>
      <c r="F21" s="872" t="s">
        <v>1488</v>
      </c>
      <c r="G21" s="872" t="s">
        <v>1489</v>
      </c>
      <c r="H21" s="872" t="s">
        <v>1490</v>
      </c>
      <c r="I21" s="66" t="s">
        <v>1604</v>
      </c>
      <c r="J21" s="4"/>
      <c r="K21" s="4"/>
    </row>
    <row r="22" spans="2:11" ht="24.75" thickBot="1">
      <c r="B22" s="1033"/>
      <c r="C22" s="890"/>
      <c r="D22" s="845" t="s">
        <v>2536</v>
      </c>
      <c r="E22" s="108">
        <v>55</v>
      </c>
      <c r="F22" s="108"/>
      <c r="G22" s="108"/>
      <c r="H22" s="108"/>
      <c r="I22" s="757">
        <f>SUM(E22:H22)</f>
        <v>55</v>
      </c>
      <c r="J22" s="45"/>
      <c r="K22" s="4"/>
    </row>
    <row r="23" spans="2:11" ht="24.75" thickBot="1">
      <c r="B23" s="1033"/>
      <c r="C23" s="890"/>
      <c r="D23" s="845" t="s">
        <v>2537</v>
      </c>
      <c r="E23" s="108">
        <v>36</v>
      </c>
      <c r="F23" s="108"/>
      <c r="G23" s="108"/>
      <c r="H23" s="108"/>
      <c r="I23" s="757">
        <f>SUM(E23:H23)</f>
        <v>36</v>
      </c>
      <c r="J23" s="4"/>
      <c r="K23" s="4"/>
    </row>
    <row r="24" spans="2:11" ht="24.75" thickBot="1">
      <c r="B24" s="1033"/>
      <c r="C24" s="890"/>
      <c r="D24" s="845" t="s">
        <v>2538</v>
      </c>
      <c r="E24" s="143">
        <f>+E23/E22</f>
        <v>0.65454545454545454</v>
      </c>
      <c r="F24" s="143" t="e">
        <f>+F23/F22</f>
        <v>#DIV/0!</v>
      </c>
      <c r="G24" s="143" t="e">
        <f>+G23/G22</f>
        <v>#DIV/0!</v>
      </c>
      <c r="H24" s="143" t="e">
        <f>+H23/H22</f>
        <v>#DIV/0!</v>
      </c>
      <c r="I24" s="143">
        <f>+I23/I22</f>
        <v>0.65454545454545454</v>
      </c>
      <c r="J24" s="4"/>
      <c r="K24" s="4"/>
    </row>
    <row r="25" spans="2:11">
      <c r="B25" s="1033"/>
      <c r="C25" s="68"/>
      <c r="D25" s="1009" t="s">
        <v>2539</v>
      </c>
      <c r="E25" s="1010"/>
      <c r="F25" s="1010"/>
      <c r="G25" s="1010"/>
      <c r="H25" s="1010"/>
      <c r="I25" s="1011"/>
      <c r="J25" s="4"/>
      <c r="K25" s="4"/>
    </row>
    <row r="26" spans="2:11" ht="15.75" thickBot="1">
      <c r="B26" s="1033"/>
      <c r="C26" s="68"/>
      <c r="D26" s="1015"/>
      <c r="E26" s="1016"/>
      <c r="F26" s="1016"/>
      <c r="G26" s="1016"/>
      <c r="H26" s="1016"/>
      <c r="I26" s="1017"/>
      <c r="J26" s="4"/>
      <c r="K26" s="4"/>
    </row>
    <row r="27" spans="2:11" ht="48">
      <c r="B27" s="1033"/>
      <c r="C27" s="890"/>
      <c r="D27" s="1011" t="s">
        <v>2540</v>
      </c>
      <c r="E27" s="1032" t="s">
        <v>2541</v>
      </c>
      <c r="F27" s="1032" t="s">
        <v>2542</v>
      </c>
      <c r="G27" s="1032" t="s">
        <v>2543</v>
      </c>
      <c r="H27" s="835" t="s">
        <v>2544</v>
      </c>
      <c r="I27" s="756"/>
      <c r="J27" s="4"/>
      <c r="K27" s="4"/>
    </row>
    <row r="28" spans="2:11" ht="15.75" thickBot="1">
      <c r="B28" s="1033"/>
      <c r="C28" s="890"/>
      <c r="D28" s="1046"/>
      <c r="E28" s="1034"/>
      <c r="F28" s="1034"/>
      <c r="G28" s="1034"/>
      <c r="H28" s="845" t="s">
        <v>2545</v>
      </c>
      <c r="I28" s="756"/>
      <c r="J28" s="4"/>
      <c r="K28" s="4"/>
    </row>
    <row r="29" spans="2:11" ht="15.75" thickBot="1">
      <c r="B29" s="1033"/>
      <c r="C29" s="890"/>
      <c r="D29" s="25" t="s">
        <v>2546</v>
      </c>
      <c r="E29" s="108">
        <v>40</v>
      </c>
      <c r="F29" s="108">
        <v>40</v>
      </c>
      <c r="G29" s="108">
        <v>40</v>
      </c>
      <c r="H29" s="108">
        <v>15</v>
      </c>
      <c r="I29" s="756"/>
      <c r="J29" s="4"/>
      <c r="K29" s="4"/>
    </row>
    <row r="30" spans="2:11" ht="15.75" thickBot="1">
      <c r="B30" s="1033"/>
      <c r="C30" s="890"/>
      <c r="D30" s="25" t="s">
        <v>2547</v>
      </c>
      <c r="E30" s="108">
        <v>0</v>
      </c>
      <c r="F30" s="108">
        <v>0</v>
      </c>
      <c r="G30" s="108">
        <v>0</v>
      </c>
      <c r="H30" s="108">
        <v>0</v>
      </c>
      <c r="I30" s="756"/>
      <c r="J30" s="4"/>
      <c r="K30" s="4"/>
    </row>
    <row r="31" spans="2:11" ht="15.75" thickBot="1">
      <c r="B31" s="1033"/>
      <c r="C31" s="890"/>
      <c r="D31" s="25" t="s">
        <v>2548</v>
      </c>
      <c r="E31" s="108">
        <v>0</v>
      </c>
      <c r="F31" s="108">
        <v>0</v>
      </c>
      <c r="G31" s="108">
        <v>0</v>
      </c>
      <c r="H31" s="108">
        <v>0</v>
      </c>
      <c r="I31" s="756"/>
      <c r="J31" s="4"/>
      <c r="K31" s="4"/>
    </row>
    <row r="32" spans="2:11" ht="15.75" thickBot="1">
      <c r="B32" s="1033"/>
      <c r="C32" s="890"/>
      <c r="D32" s="25"/>
      <c r="E32" s="108"/>
      <c r="F32" s="108"/>
      <c r="G32" s="108"/>
      <c r="H32" s="108"/>
      <c r="I32" s="756"/>
      <c r="J32" s="4"/>
      <c r="K32" s="4"/>
    </row>
    <row r="33" spans="2:11" ht="15.75" thickBot="1">
      <c r="B33" s="1033"/>
      <c r="C33" s="890"/>
      <c r="D33" s="25"/>
      <c r="E33" s="108"/>
      <c r="F33" s="108"/>
      <c r="G33" s="108"/>
      <c r="H33" s="108"/>
      <c r="I33" s="756"/>
      <c r="J33" s="4"/>
      <c r="K33" s="4"/>
    </row>
    <row r="34" spans="2:11" ht="15.75" thickBot="1">
      <c r="B34" s="1033"/>
      <c r="C34" s="890"/>
      <c r="D34" s="25"/>
      <c r="E34" s="108"/>
      <c r="F34" s="108"/>
      <c r="G34" s="108"/>
      <c r="H34" s="108"/>
      <c r="I34" s="756"/>
      <c r="J34" s="4"/>
      <c r="K34" s="4"/>
    </row>
    <row r="35" spans="2:11" ht="15.75" thickBot="1">
      <c r="B35" s="1033"/>
      <c r="C35" s="890"/>
      <c r="D35" s="25"/>
      <c r="E35" s="108"/>
      <c r="F35" s="108"/>
      <c r="G35" s="108"/>
      <c r="H35" s="108"/>
      <c r="I35" s="756"/>
      <c r="J35" s="4"/>
      <c r="K35" s="4"/>
    </row>
    <row r="36" spans="2:11" ht="15.75" thickBot="1">
      <c r="B36" s="1033"/>
      <c r="C36" s="890"/>
      <c r="D36" s="25"/>
      <c r="E36" s="108"/>
      <c r="F36" s="108"/>
      <c r="G36" s="108"/>
      <c r="H36" s="108"/>
      <c r="I36" s="756"/>
      <c r="J36" s="4"/>
      <c r="K36" s="4"/>
    </row>
    <row r="37" spans="2:11" ht="15.75" thickBot="1">
      <c r="B37" s="1033"/>
      <c r="C37" s="890"/>
      <c r="D37" s="25"/>
      <c r="E37" s="108"/>
      <c r="F37" s="108"/>
      <c r="G37" s="108"/>
      <c r="H37" s="108"/>
      <c r="I37" s="756"/>
      <c r="J37" s="4"/>
      <c r="K37" s="4"/>
    </row>
    <row r="38" spans="2:11" ht="15.75" thickBot="1">
      <c r="B38" s="1033"/>
      <c r="C38" s="890"/>
      <c r="D38" s="25"/>
      <c r="E38" s="108"/>
      <c r="F38" s="108"/>
      <c r="G38" s="108"/>
      <c r="H38" s="108"/>
      <c r="I38" s="756"/>
      <c r="J38" s="4"/>
      <c r="K38" s="4"/>
    </row>
    <row r="39" spans="2:11" ht="15.75" thickBot="1">
      <c r="B39" s="1033"/>
      <c r="C39" s="890"/>
      <c r="D39" s="25"/>
      <c r="E39" s="108"/>
      <c r="F39" s="108"/>
      <c r="G39" s="108"/>
      <c r="H39" s="108"/>
      <c r="I39" s="756"/>
      <c r="J39" s="4"/>
      <c r="K39" s="4"/>
    </row>
    <row r="40" spans="2:11" ht="15.75" thickBot="1">
      <c r="B40" s="1033"/>
      <c r="C40" s="890"/>
      <c r="D40" s="25"/>
      <c r="E40" s="108"/>
      <c r="F40" s="108"/>
      <c r="G40" s="108"/>
      <c r="H40" s="108"/>
      <c r="I40" s="756"/>
      <c r="J40" s="4"/>
      <c r="K40" s="4"/>
    </row>
    <row r="41" spans="2:11" ht="15.75" thickBot="1">
      <c r="B41" s="1033"/>
      <c r="C41" s="890"/>
      <c r="D41" s="845" t="s">
        <v>1604</v>
      </c>
      <c r="E41" s="758">
        <f>SUM(E29:E40)</f>
        <v>40</v>
      </c>
      <c r="F41" s="758">
        <f>SUM(F29:F40)</f>
        <v>40</v>
      </c>
      <c r="G41" s="758">
        <f>SUM(G29:G40)</f>
        <v>40</v>
      </c>
      <c r="H41" s="758">
        <f>SUM(H29:H40)</f>
        <v>15</v>
      </c>
      <c r="I41" s="756"/>
      <c r="J41" s="4"/>
      <c r="K41" s="4"/>
    </row>
    <row r="42" spans="2:11">
      <c r="B42" s="1033"/>
      <c r="C42" s="68"/>
      <c r="D42" s="1015"/>
      <c r="E42" s="1016"/>
      <c r="F42" s="1016"/>
      <c r="G42" s="1016"/>
      <c r="H42" s="1016"/>
      <c r="I42" s="1017"/>
      <c r="J42" s="4"/>
      <c r="K42" s="4"/>
    </row>
    <row r="43" spans="2:11">
      <c r="B43" s="1033"/>
      <c r="C43" s="68"/>
      <c r="D43" s="1174" t="s">
        <v>2549</v>
      </c>
      <c r="E43" s="1175"/>
      <c r="F43" s="1175"/>
      <c r="G43" s="1175"/>
      <c r="H43" s="1175"/>
      <c r="I43" s="1176"/>
      <c r="J43" s="4"/>
      <c r="K43" s="4"/>
    </row>
    <row r="44" spans="2:11" ht="15.75" thickBot="1">
      <c r="B44" s="1033"/>
      <c r="C44" s="68"/>
      <c r="D44" s="1015"/>
      <c r="E44" s="1016"/>
      <c r="F44" s="1016"/>
      <c r="G44" s="1016"/>
      <c r="H44" s="1016"/>
      <c r="I44" s="1017"/>
      <c r="J44" s="4"/>
      <c r="K44" s="4"/>
    </row>
    <row r="45" spans="2:11" ht="15.75" thickBot="1">
      <c r="B45" s="1033"/>
      <c r="C45" s="890"/>
      <c r="D45" s="842" t="s">
        <v>1603</v>
      </c>
      <c r="E45" s="872" t="s">
        <v>2550</v>
      </c>
      <c r="F45" s="4"/>
      <c r="G45" s="4"/>
      <c r="H45" s="4"/>
      <c r="I45" s="756"/>
      <c r="J45" s="4"/>
      <c r="K45" s="4"/>
    </row>
    <row r="46" spans="2:11" ht="15.75" thickBot="1">
      <c r="B46" s="1033"/>
      <c r="C46" s="890"/>
      <c r="D46" s="845" t="s">
        <v>2551</v>
      </c>
      <c r="E46" s="108">
        <v>136</v>
      </c>
      <c r="F46" s="31" t="s">
        <v>2552</v>
      </c>
      <c r="G46" s="4"/>
      <c r="H46" s="4"/>
      <c r="I46" s="756"/>
      <c r="J46" s="4"/>
      <c r="K46" s="4"/>
    </row>
    <row r="47" spans="2:11" ht="24.75" thickBot="1">
      <c r="B47" s="1033"/>
      <c r="C47" s="890"/>
      <c r="D47" s="845" t="s">
        <v>2553</v>
      </c>
      <c r="E47" s="108">
        <v>164</v>
      </c>
      <c r="F47" s="31" t="s">
        <v>2554</v>
      </c>
      <c r="G47" s="4"/>
      <c r="H47" s="4"/>
      <c r="I47" s="756"/>
      <c r="J47" s="4"/>
      <c r="K47" s="4"/>
    </row>
    <row r="48" spans="2:11" ht="24.75" thickBot="1">
      <c r="B48" s="1033"/>
      <c r="C48" s="890"/>
      <c r="D48" s="845" t="s">
        <v>2555</v>
      </c>
      <c r="E48" s="108">
        <v>197</v>
      </c>
      <c r="F48" s="31" t="s">
        <v>2554</v>
      </c>
      <c r="G48" s="4"/>
      <c r="H48" s="4"/>
      <c r="I48" s="756"/>
      <c r="J48" s="4"/>
      <c r="K48" s="4"/>
    </row>
    <row r="49" spans="2:11">
      <c r="B49" s="1033"/>
      <c r="C49" s="68"/>
      <c r="D49" s="1015"/>
      <c r="E49" s="1016"/>
      <c r="F49" s="1016"/>
      <c r="G49" s="1016"/>
      <c r="H49" s="1016"/>
      <c r="I49" s="1017"/>
      <c r="J49" s="4"/>
      <c r="K49" s="4"/>
    </row>
    <row r="50" spans="2:11">
      <c r="B50" s="1033"/>
      <c r="C50" s="68"/>
      <c r="D50" s="1015" t="s">
        <v>2556</v>
      </c>
      <c r="E50" s="1016"/>
      <c r="F50" s="1016"/>
      <c r="G50" s="1016"/>
      <c r="H50" s="1016"/>
      <c r="I50" s="1017"/>
      <c r="J50" s="4"/>
      <c r="K50" s="4"/>
    </row>
    <row r="51" spans="2:11" ht="15.75" thickBot="1">
      <c r="B51" s="1033"/>
      <c r="C51" s="68"/>
      <c r="D51" s="1044"/>
      <c r="E51" s="1045"/>
      <c r="F51" s="1045"/>
      <c r="G51" s="1045"/>
      <c r="H51" s="1045"/>
      <c r="I51" s="1046"/>
      <c r="J51" s="4"/>
      <c r="K51" s="4"/>
    </row>
    <row r="52" spans="2:11" ht="15.75" thickBot="1">
      <c r="B52" s="1033"/>
      <c r="C52" s="890"/>
      <c r="D52" s="842" t="s">
        <v>1603</v>
      </c>
      <c r="E52" s="872" t="s">
        <v>1487</v>
      </c>
      <c r="F52" s="872" t="s">
        <v>1488</v>
      </c>
      <c r="G52" s="872" t="s">
        <v>1489</v>
      </c>
      <c r="H52" s="872" t="s">
        <v>1490</v>
      </c>
      <c r="I52" s="66" t="s">
        <v>1604</v>
      </c>
      <c r="J52" s="4"/>
      <c r="K52" s="4"/>
    </row>
    <row r="53" spans="2:11" ht="24.75" thickBot="1">
      <c r="B53" s="1033"/>
      <c r="C53" s="890"/>
      <c r="D53" s="845" t="s">
        <v>2557</v>
      </c>
      <c r="E53" s="108">
        <v>39</v>
      </c>
      <c r="F53" s="108"/>
      <c r="G53" s="108"/>
      <c r="H53" s="108"/>
      <c r="I53" s="758">
        <f>SUM(E53:H53)</f>
        <v>39</v>
      </c>
      <c r="J53" s="759" t="s">
        <v>2558</v>
      </c>
      <c r="K53" s="4"/>
    </row>
    <row r="54" spans="2:11" ht="24.75" thickBot="1">
      <c r="B54" s="1033"/>
      <c r="C54" s="890"/>
      <c r="D54" s="845" t="s">
        <v>2559</v>
      </c>
      <c r="E54" s="108">
        <v>34</v>
      </c>
      <c r="F54" s="108"/>
      <c r="G54" s="108"/>
      <c r="H54" s="108"/>
      <c r="I54" s="758">
        <f>SUM(E54:H54)</f>
        <v>34</v>
      </c>
      <c r="J54" s="4"/>
      <c r="K54" s="4"/>
    </row>
    <row r="55" spans="2:11" ht="24.75" thickBot="1">
      <c r="B55" s="1033"/>
      <c r="C55" s="890"/>
      <c r="D55" s="845" t="s">
        <v>2560</v>
      </c>
      <c r="E55" s="143">
        <f>+E54/E53</f>
        <v>0.87179487179487181</v>
      </c>
      <c r="F55" s="143" t="e">
        <f>+F54/F53</f>
        <v>#DIV/0!</v>
      </c>
      <c r="G55" s="143" t="e">
        <f>+G54/G53</f>
        <v>#DIV/0!</v>
      </c>
      <c r="H55" s="143" t="e">
        <f>+H54/H53</f>
        <v>#DIV/0!</v>
      </c>
      <c r="I55" s="143">
        <f>+I54/I53</f>
        <v>0.87179487179487181</v>
      </c>
      <c r="J55" s="4"/>
      <c r="K55" s="4"/>
    </row>
    <row r="56" spans="2:11">
      <c r="B56" s="1033"/>
      <c r="C56" s="68"/>
      <c r="D56" s="1009"/>
      <c r="E56" s="1010"/>
      <c r="F56" s="1010"/>
      <c r="G56" s="1010"/>
      <c r="H56" s="1010"/>
      <c r="I56" s="1011"/>
      <c r="J56" s="4"/>
      <c r="K56" s="4"/>
    </row>
    <row r="57" spans="2:11">
      <c r="B57" s="1033"/>
      <c r="C57" s="68"/>
      <c r="D57" s="1015" t="s">
        <v>2561</v>
      </c>
      <c r="E57" s="1016"/>
      <c r="F57" s="1016"/>
      <c r="G57" s="1016"/>
      <c r="H57" s="1016"/>
      <c r="I57" s="1017"/>
      <c r="J57" s="4"/>
      <c r="K57" s="4"/>
    </row>
    <row r="58" spans="2:11" ht="15.75" thickBot="1">
      <c r="B58" s="1033"/>
      <c r="C58" s="68"/>
      <c r="D58" s="1044"/>
      <c r="E58" s="1045"/>
      <c r="F58" s="1045"/>
      <c r="G58" s="1045"/>
      <c r="H58" s="1045"/>
      <c r="I58" s="1046"/>
      <c r="J58" s="4"/>
      <c r="K58" s="4"/>
    </row>
    <row r="59" spans="2:11" ht="15.75" thickBot="1">
      <c r="B59" s="1033"/>
      <c r="C59" s="890"/>
      <c r="D59" s="842" t="s">
        <v>1603</v>
      </c>
      <c r="E59" s="872" t="s">
        <v>1487</v>
      </c>
      <c r="F59" s="872" t="s">
        <v>1488</v>
      </c>
      <c r="G59" s="872" t="s">
        <v>1489</v>
      </c>
      <c r="H59" s="872" t="s">
        <v>1490</v>
      </c>
      <c r="I59" s="66" t="s">
        <v>1604</v>
      </c>
      <c r="J59" s="4"/>
      <c r="K59" s="4"/>
    </row>
    <row r="60" spans="2:11" ht="24.75" thickBot="1">
      <c r="B60" s="1033"/>
      <c r="C60" s="890"/>
      <c r="D60" s="845" t="s">
        <v>2562</v>
      </c>
      <c r="E60" s="108">
        <v>39</v>
      </c>
      <c r="F60" s="108"/>
      <c r="G60" s="108"/>
      <c r="H60" s="108"/>
      <c r="I60" s="758">
        <f>SUM(E60:H60)</f>
        <v>39</v>
      </c>
      <c r="J60" s="31" t="s">
        <v>2563</v>
      </c>
      <c r="K60" s="31"/>
    </row>
    <row r="61" spans="2:11" ht="24.75" thickBot="1">
      <c r="B61" s="1033"/>
      <c r="C61" s="890"/>
      <c r="D61" s="845" t="s">
        <v>2564</v>
      </c>
      <c r="E61" s="108">
        <v>34</v>
      </c>
      <c r="F61" s="108"/>
      <c r="G61" s="108"/>
      <c r="H61" s="108"/>
      <c r="I61" s="758">
        <f>SUM(E61:H61)</f>
        <v>34</v>
      </c>
      <c r="J61" s="4"/>
      <c r="K61" s="4"/>
    </row>
    <row r="62" spans="2:11" ht="24.75" thickBot="1">
      <c r="B62" s="1033"/>
      <c r="C62" s="890"/>
      <c r="D62" s="845" t="s">
        <v>2565</v>
      </c>
      <c r="E62" s="143">
        <f>+E61/E60</f>
        <v>0.87179487179487181</v>
      </c>
      <c r="F62" s="143" t="e">
        <f>+F61/F60</f>
        <v>#DIV/0!</v>
      </c>
      <c r="G62" s="143" t="e">
        <f>+G61/G60</f>
        <v>#DIV/0!</v>
      </c>
      <c r="H62" s="143" t="e">
        <f>+H61/H60</f>
        <v>#DIV/0!</v>
      </c>
      <c r="I62" s="143">
        <f>+I61/I60</f>
        <v>0.87179487179487181</v>
      </c>
      <c r="J62" s="4"/>
      <c r="K62" s="4"/>
    </row>
    <row r="63" spans="2:11">
      <c r="B63" s="1033"/>
      <c r="C63" s="68"/>
      <c r="D63" s="1009"/>
      <c r="E63" s="1010"/>
      <c r="F63" s="1010"/>
      <c r="G63" s="1010"/>
      <c r="H63" s="1010"/>
      <c r="I63" s="1011"/>
      <c r="J63" s="4"/>
      <c r="K63" s="4"/>
    </row>
    <row r="64" spans="2:11">
      <c r="B64" s="1033"/>
      <c r="C64" s="68"/>
      <c r="D64" s="1174" t="s">
        <v>2566</v>
      </c>
      <c r="E64" s="1175"/>
      <c r="F64" s="1175"/>
      <c r="G64" s="1175"/>
      <c r="H64" s="1175"/>
      <c r="I64" s="1176"/>
      <c r="J64" s="4"/>
      <c r="K64" s="4"/>
    </row>
    <row r="65" spans="2:11" ht="15.75" thickBot="1">
      <c r="B65" s="1033"/>
      <c r="C65" s="68"/>
      <c r="D65" s="1015"/>
      <c r="E65" s="1016"/>
      <c r="F65" s="1016"/>
      <c r="G65" s="1016"/>
      <c r="H65" s="1016"/>
      <c r="I65" s="1017"/>
      <c r="J65" s="4"/>
      <c r="K65" s="4"/>
    </row>
    <row r="66" spans="2:11" ht="15.75" thickBot="1">
      <c r="B66" s="1033"/>
      <c r="C66" s="890"/>
      <c r="D66" s="842" t="s">
        <v>1603</v>
      </c>
      <c r="E66" s="872" t="s">
        <v>2550</v>
      </c>
      <c r="F66" s="4"/>
      <c r="G66" s="4"/>
      <c r="H66" s="4"/>
      <c r="I66" s="756"/>
      <c r="J66" s="4"/>
      <c r="K66" s="4"/>
    </row>
    <row r="67" spans="2:11" ht="24.75" thickBot="1">
      <c r="B67" s="1033"/>
      <c r="C67" s="890"/>
      <c r="D67" s="845" t="s">
        <v>2567</v>
      </c>
      <c r="E67" s="108">
        <v>120</v>
      </c>
      <c r="F67" s="31" t="s">
        <v>2554</v>
      </c>
      <c r="G67" s="4"/>
      <c r="H67" s="4"/>
      <c r="I67" s="756"/>
      <c r="J67" s="4"/>
      <c r="K67" s="4"/>
    </row>
    <row r="68" spans="2:11" ht="24.75" thickBot="1">
      <c r="B68" s="1033"/>
      <c r="C68" s="890"/>
      <c r="D68" s="845" t="s">
        <v>2568</v>
      </c>
      <c r="E68" s="108">
        <v>144</v>
      </c>
      <c r="F68" s="31" t="s">
        <v>2554</v>
      </c>
      <c r="G68" s="4"/>
      <c r="H68" s="4"/>
      <c r="I68" s="756"/>
      <c r="J68" s="4"/>
      <c r="K68" s="4"/>
    </row>
    <row r="69" spans="2:11" ht="24.75" thickBot="1">
      <c r="B69" s="1033"/>
      <c r="C69" s="890"/>
      <c r="D69" s="845" t="s">
        <v>2569</v>
      </c>
      <c r="E69" s="108">
        <v>175</v>
      </c>
      <c r="F69" s="31" t="s">
        <v>2570</v>
      </c>
      <c r="G69" s="4"/>
      <c r="H69" s="4"/>
      <c r="I69" s="756"/>
      <c r="J69" s="4"/>
      <c r="K69" s="4"/>
    </row>
    <row r="70" spans="2:11">
      <c r="B70" s="1033"/>
      <c r="C70" s="68"/>
      <c r="D70" s="1015"/>
      <c r="E70" s="1016"/>
      <c r="F70" s="1016"/>
      <c r="G70" s="1016"/>
      <c r="H70" s="1016"/>
      <c r="I70" s="1017"/>
      <c r="J70" s="4"/>
      <c r="K70" s="4"/>
    </row>
    <row r="71" spans="2:11">
      <c r="B71" s="1033"/>
      <c r="C71" s="68"/>
      <c r="D71" s="1015" t="s">
        <v>2571</v>
      </c>
      <c r="E71" s="1016"/>
      <c r="F71" s="1016"/>
      <c r="G71" s="1016"/>
      <c r="H71" s="1016"/>
      <c r="I71" s="1017"/>
      <c r="J71" s="4"/>
      <c r="K71" s="4"/>
    </row>
    <row r="72" spans="2:11" ht="15.75" thickBot="1">
      <c r="B72" s="1033"/>
      <c r="C72" s="68"/>
      <c r="D72" s="1044"/>
      <c r="E72" s="1045"/>
      <c r="F72" s="1045"/>
      <c r="G72" s="1045"/>
      <c r="H72" s="1045"/>
      <c r="I72" s="1046"/>
      <c r="J72" s="4"/>
      <c r="K72" s="4"/>
    </row>
    <row r="73" spans="2:11" ht="15.75" thickBot="1">
      <c r="B73" s="1033"/>
      <c r="C73" s="890"/>
      <c r="D73" s="842" t="s">
        <v>1603</v>
      </c>
      <c r="E73" s="872" t="s">
        <v>1487</v>
      </c>
      <c r="F73" s="872" t="s">
        <v>1488</v>
      </c>
      <c r="G73" s="872" t="s">
        <v>1489</v>
      </c>
      <c r="H73" s="872" t="s">
        <v>1490</v>
      </c>
      <c r="I73" s="66" t="s">
        <v>1604</v>
      </c>
      <c r="J73" s="4"/>
      <c r="K73" s="4"/>
    </row>
    <row r="74" spans="2:11" ht="36.75" thickBot="1">
      <c r="B74" s="1033"/>
      <c r="C74" s="890"/>
      <c r="D74" s="845" t="s">
        <v>2572</v>
      </c>
      <c r="E74" s="108">
        <v>35</v>
      </c>
      <c r="F74" s="108"/>
      <c r="G74" s="108"/>
      <c r="H74" s="108"/>
      <c r="I74" s="758">
        <f>SUM(E74:H74)</f>
        <v>35</v>
      </c>
      <c r="J74" s="760" t="s">
        <v>2573</v>
      </c>
      <c r="K74" s="4"/>
    </row>
    <row r="75" spans="2:11" ht="24.75" thickBot="1">
      <c r="B75" s="1033"/>
      <c r="C75" s="890"/>
      <c r="D75" s="845" t="s">
        <v>2574</v>
      </c>
      <c r="E75" s="108">
        <v>36</v>
      </c>
      <c r="F75" s="108"/>
      <c r="G75" s="108"/>
      <c r="H75" s="108"/>
      <c r="I75" s="758">
        <f>SUM(E75:H75)</f>
        <v>36</v>
      </c>
      <c r="J75" s="4"/>
      <c r="K75" s="4"/>
    </row>
    <row r="76" spans="2:11" ht="24.75" thickBot="1">
      <c r="B76" s="1033"/>
      <c r="C76" s="890"/>
      <c r="D76" s="845" t="s">
        <v>2575</v>
      </c>
      <c r="E76" s="143">
        <f>+E75/E74</f>
        <v>1.0285714285714285</v>
      </c>
      <c r="F76" s="143" t="e">
        <f>+F75/F74</f>
        <v>#DIV/0!</v>
      </c>
      <c r="G76" s="143" t="e">
        <f>+G75/G74</f>
        <v>#DIV/0!</v>
      </c>
      <c r="H76" s="143" t="e">
        <f>+H75/H74</f>
        <v>#DIV/0!</v>
      </c>
      <c r="I76" s="143">
        <f>+I75/I74</f>
        <v>1.0285714285714285</v>
      </c>
      <c r="J76" s="4"/>
      <c r="K76" s="4"/>
    </row>
    <row r="77" spans="2:11" ht="15.75" thickBot="1">
      <c r="B77" s="1033"/>
      <c r="C77" s="739"/>
      <c r="D77" s="828"/>
      <c r="E77" s="249"/>
      <c r="F77" s="249"/>
      <c r="G77" s="249"/>
      <c r="H77" s="249"/>
      <c r="I77" s="250"/>
      <c r="J77" s="4"/>
      <c r="K77" s="4"/>
    </row>
    <row r="78" spans="2:11">
      <c r="B78" s="1033"/>
      <c r="C78" s="68"/>
      <c r="D78" s="1009" t="s">
        <v>2576</v>
      </c>
      <c r="E78" s="1010"/>
      <c r="F78" s="1010"/>
      <c r="G78" s="1010"/>
      <c r="H78" s="1010"/>
      <c r="I78" s="1011"/>
      <c r="J78" s="4"/>
      <c r="K78" s="4"/>
    </row>
    <row r="79" spans="2:11" ht="15.75" thickBot="1">
      <c r="B79" s="1033"/>
      <c r="C79" s="68"/>
      <c r="D79" s="1044"/>
      <c r="E79" s="1045"/>
      <c r="F79" s="1045"/>
      <c r="G79" s="1045"/>
      <c r="H79" s="1045"/>
      <c r="I79" s="1046"/>
      <c r="J79" s="4"/>
      <c r="K79" s="4"/>
    </row>
    <row r="80" spans="2:11" ht="15.75" thickBot="1">
      <c r="B80" s="1033"/>
      <c r="C80" s="890"/>
      <c r="D80" s="842" t="s">
        <v>1603</v>
      </c>
      <c r="E80" s="872" t="s">
        <v>1487</v>
      </c>
      <c r="F80" s="872" t="s">
        <v>1488</v>
      </c>
      <c r="G80" s="872" t="s">
        <v>1489</v>
      </c>
      <c r="H80" s="872" t="s">
        <v>1490</v>
      </c>
      <c r="I80" s="66" t="s">
        <v>1604</v>
      </c>
      <c r="J80" s="4"/>
      <c r="K80" s="4"/>
    </row>
    <row r="81" spans="2:11" ht="24.75" thickBot="1">
      <c r="B81" s="1033"/>
      <c r="C81" s="890"/>
      <c r="D81" s="845" t="s">
        <v>2577</v>
      </c>
      <c r="E81" s="108">
        <v>35</v>
      </c>
      <c r="F81" s="108"/>
      <c r="G81" s="108"/>
      <c r="H81" s="108"/>
      <c r="I81" s="758">
        <f>SUM(E81:H81)</f>
        <v>35</v>
      </c>
      <c r="J81" s="31" t="s">
        <v>2578</v>
      </c>
      <c r="K81" s="4"/>
    </row>
    <row r="82" spans="2:11" ht="24.75" thickBot="1">
      <c r="B82" s="1033"/>
      <c r="C82" s="890"/>
      <c r="D82" s="845" t="s">
        <v>2579</v>
      </c>
      <c r="E82" s="108">
        <v>36</v>
      </c>
      <c r="F82" s="108"/>
      <c r="G82" s="108"/>
      <c r="H82" s="108"/>
      <c r="I82" s="758">
        <f>SUM(E82:H82)</f>
        <v>36</v>
      </c>
      <c r="J82" s="4"/>
      <c r="K82" s="4"/>
    </row>
    <row r="83" spans="2:11" ht="24.75" thickBot="1">
      <c r="B83" s="1033"/>
      <c r="C83" s="890"/>
      <c r="D83" s="845" t="s">
        <v>2580</v>
      </c>
      <c r="E83" s="143">
        <f>+E82/E81</f>
        <v>1.0285714285714285</v>
      </c>
      <c r="F83" s="143" t="e">
        <f>+F82/F81</f>
        <v>#DIV/0!</v>
      </c>
      <c r="G83" s="143" t="e">
        <f>+G82/G81</f>
        <v>#DIV/0!</v>
      </c>
      <c r="H83" s="143" t="e">
        <f>+H82/H81</f>
        <v>#DIV/0!</v>
      </c>
      <c r="I83" s="143">
        <f>+I82/I81</f>
        <v>1.0285714285714285</v>
      </c>
      <c r="J83" s="4"/>
      <c r="K83" s="4"/>
    </row>
    <row r="84" spans="2:11">
      <c r="B84" s="1033"/>
      <c r="C84" s="68"/>
      <c r="D84" s="1009"/>
      <c r="E84" s="1010"/>
      <c r="F84" s="1010"/>
      <c r="G84" s="1010"/>
      <c r="H84" s="1010"/>
      <c r="I84" s="1011"/>
      <c r="J84" s="4"/>
      <c r="K84" s="4"/>
    </row>
    <row r="85" spans="2:11" ht="15.75" thickBot="1">
      <c r="B85" s="1033"/>
      <c r="C85" s="68"/>
      <c r="D85" s="1174" t="s">
        <v>2581</v>
      </c>
      <c r="E85" s="1175"/>
      <c r="F85" s="1175"/>
      <c r="G85" s="1175"/>
      <c r="H85" s="1175"/>
      <c r="I85" s="1176"/>
      <c r="J85" s="4"/>
      <c r="K85" s="4"/>
    </row>
    <row r="86" spans="2:11" ht="15.75" thickBot="1">
      <c r="B86" s="1033"/>
      <c r="C86" s="890"/>
      <c r="D86" s="842" t="s">
        <v>1603</v>
      </c>
      <c r="E86" s="872" t="s">
        <v>2550</v>
      </c>
      <c r="F86" s="4"/>
      <c r="G86" s="4"/>
      <c r="H86" s="4"/>
      <c r="I86" s="756"/>
      <c r="J86" s="4"/>
      <c r="K86" s="4"/>
    </row>
    <row r="87" spans="2:11" ht="24.75" thickBot="1">
      <c r="B87" s="1033"/>
      <c r="C87" s="890"/>
      <c r="D87" s="845" t="s">
        <v>2582</v>
      </c>
      <c r="E87" s="108">
        <v>239</v>
      </c>
      <c r="F87" s="4"/>
      <c r="G87" s="4"/>
      <c r="H87" s="4"/>
      <c r="I87" s="756"/>
      <c r="J87" s="31"/>
      <c r="K87" s="4"/>
    </row>
    <row r="88" spans="2:11" ht="24.75" thickBot="1">
      <c r="B88" s="1033"/>
      <c r="C88" s="890"/>
      <c r="D88" s="845" t="s">
        <v>2583</v>
      </c>
      <c r="E88" s="108">
        <v>239</v>
      </c>
      <c r="F88" s="4"/>
      <c r="G88" s="4"/>
      <c r="H88" s="4"/>
      <c r="I88" s="756"/>
      <c r="J88" s="4"/>
      <c r="K88" s="4"/>
    </row>
    <row r="89" spans="2:11">
      <c r="B89" s="1033"/>
      <c r="C89" s="68"/>
      <c r="D89" s="1015"/>
      <c r="E89" s="1016"/>
      <c r="F89" s="1016"/>
      <c r="G89" s="1016"/>
      <c r="H89" s="1016"/>
      <c r="I89" s="1017"/>
      <c r="J89" s="4"/>
      <c r="K89" s="4"/>
    </row>
    <row r="90" spans="2:11" ht="15.75" thickBot="1">
      <c r="B90" s="1033"/>
      <c r="C90" s="68"/>
      <c r="D90" s="1044" t="s">
        <v>2584</v>
      </c>
      <c r="E90" s="1045"/>
      <c r="F90" s="1045"/>
      <c r="G90" s="1045"/>
      <c r="H90" s="1045"/>
      <c r="I90" s="1046"/>
      <c r="J90" s="4"/>
      <c r="K90" s="4"/>
    </row>
    <row r="91" spans="2:11" ht="15.75" thickBot="1">
      <c r="B91" s="1033"/>
      <c r="C91" s="890"/>
      <c r="D91" s="842" t="s">
        <v>1603</v>
      </c>
      <c r="E91" s="872" t="s">
        <v>1487</v>
      </c>
      <c r="F91" s="872" t="s">
        <v>1488</v>
      </c>
      <c r="G91" s="872" t="s">
        <v>1489</v>
      </c>
      <c r="H91" s="872" t="s">
        <v>1490</v>
      </c>
      <c r="I91" s="66" t="s">
        <v>1604</v>
      </c>
      <c r="J91" s="4"/>
      <c r="K91" s="4"/>
    </row>
    <row r="92" spans="2:11" ht="36.75" thickBot="1">
      <c r="B92" s="1033"/>
      <c r="C92" s="890"/>
      <c r="D92" s="845" t="s">
        <v>2585</v>
      </c>
      <c r="E92" s="108">
        <v>60</v>
      </c>
      <c r="F92" s="108"/>
      <c r="G92" s="108"/>
      <c r="H92" s="108"/>
      <c r="I92" s="758">
        <f>SUM(E92:H92)</f>
        <v>60</v>
      </c>
      <c r="J92" s="31" t="s">
        <v>2586</v>
      </c>
      <c r="K92" s="4"/>
    </row>
    <row r="93" spans="2:11" ht="24.75" thickBot="1">
      <c r="B93" s="1033"/>
      <c r="C93" s="890"/>
      <c r="D93" s="845" t="s">
        <v>2587</v>
      </c>
      <c r="E93" s="108">
        <v>43</v>
      </c>
      <c r="F93" s="108"/>
      <c r="G93" s="108"/>
      <c r="H93" s="108"/>
      <c r="I93" s="758">
        <f>SUM(E93:H93)</f>
        <v>43</v>
      </c>
      <c r="J93" s="4"/>
      <c r="K93" s="4"/>
    </row>
    <row r="94" spans="2:11" ht="36.75" thickBot="1">
      <c r="B94" s="1033"/>
      <c r="C94" s="890"/>
      <c r="D94" s="845" t="s">
        <v>2588</v>
      </c>
      <c r="E94" s="143">
        <f>+E93/E92</f>
        <v>0.71666666666666667</v>
      </c>
      <c r="F94" s="143" t="e">
        <f>+F93/F92</f>
        <v>#DIV/0!</v>
      </c>
      <c r="G94" s="143" t="e">
        <f>+G93/G92</f>
        <v>#DIV/0!</v>
      </c>
      <c r="H94" s="143" t="e">
        <f>+H93/H92</f>
        <v>#DIV/0!</v>
      </c>
      <c r="I94" s="143">
        <f>+I93/I92</f>
        <v>0.71666666666666667</v>
      </c>
      <c r="J94" s="4"/>
      <c r="K94" s="4"/>
    </row>
    <row r="95" spans="2:11">
      <c r="B95" s="1033"/>
      <c r="C95" s="68"/>
      <c r="D95" s="1009"/>
      <c r="E95" s="1010"/>
      <c r="F95" s="1010"/>
      <c r="G95" s="1010"/>
      <c r="H95" s="1010"/>
      <c r="I95" s="1011"/>
      <c r="J95" s="4"/>
      <c r="K95" s="4"/>
    </row>
    <row r="96" spans="2:11">
      <c r="B96" s="1033"/>
      <c r="C96" s="68"/>
      <c r="D96" s="1015" t="s">
        <v>2589</v>
      </c>
      <c r="E96" s="1016"/>
      <c r="F96" s="1016"/>
      <c r="G96" s="1016"/>
      <c r="H96" s="1016"/>
      <c r="I96" s="1017"/>
      <c r="J96" s="4"/>
      <c r="K96" s="4"/>
    </row>
    <row r="97" spans="2:11" ht="15.75" thickBot="1">
      <c r="B97" s="1033"/>
      <c r="C97" s="68"/>
      <c r="D97" s="1044"/>
      <c r="E97" s="1045"/>
      <c r="F97" s="1045"/>
      <c r="G97" s="1045"/>
      <c r="H97" s="1045"/>
      <c r="I97" s="1046"/>
      <c r="J97" s="4"/>
      <c r="K97" s="4"/>
    </row>
    <row r="98" spans="2:11" ht="15.75" thickBot="1">
      <c r="B98" s="1033"/>
      <c r="C98" s="890"/>
      <c r="D98" s="842" t="s">
        <v>1603</v>
      </c>
      <c r="E98" s="872" t="s">
        <v>1487</v>
      </c>
      <c r="F98" s="872" t="s">
        <v>1488</v>
      </c>
      <c r="G98" s="872" t="s">
        <v>1489</v>
      </c>
      <c r="H98" s="872" t="s">
        <v>1490</v>
      </c>
      <c r="I98" s="66" t="s">
        <v>1604</v>
      </c>
      <c r="J98" s="4"/>
      <c r="K98" s="4"/>
    </row>
    <row r="99" spans="2:11" ht="24.75" thickBot="1">
      <c r="B99" s="1033"/>
      <c r="C99" s="890"/>
      <c r="D99" s="845" t="s">
        <v>2590</v>
      </c>
      <c r="E99" s="108">
        <v>7</v>
      </c>
      <c r="F99" s="108"/>
      <c r="G99" s="108"/>
      <c r="H99" s="108"/>
      <c r="I99" s="758">
        <f>SUM(E99:H99)</f>
        <v>7</v>
      </c>
      <c r="J99" s="31" t="s">
        <v>2591</v>
      </c>
      <c r="K99" s="4"/>
    </row>
    <row r="100" spans="2:11" ht="24.75" thickBot="1">
      <c r="B100" s="1033"/>
      <c r="C100" s="890"/>
      <c r="D100" s="845" t="s">
        <v>2592</v>
      </c>
      <c r="E100" s="108">
        <v>7</v>
      </c>
      <c r="F100" s="108"/>
      <c r="G100" s="108"/>
      <c r="H100" s="108"/>
      <c r="I100" s="758">
        <f>SUM(E100:H100)</f>
        <v>7</v>
      </c>
      <c r="J100" s="4"/>
      <c r="K100" s="4"/>
    </row>
    <row r="101" spans="2:11" ht="36.75" thickBot="1">
      <c r="B101" s="1033"/>
      <c r="C101" s="890"/>
      <c r="D101" s="845" t="s">
        <v>2593</v>
      </c>
      <c r="E101" s="143">
        <f>+E100/E99</f>
        <v>1</v>
      </c>
      <c r="F101" s="143" t="e">
        <f>+F100/F99</f>
        <v>#DIV/0!</v>
      </c>
      <c r="G101" s="143" t="e">
        <f>+G100/G99</f>
        <v>#DIV/0!</v>
      </c>
      <c r="H101" s="143" t="e">
        <f>+H100/H99</f>
        <v>#DIV/0!</v>
      </c>
      <c r="I101" s="143">
        <f>+I100/I99</f>
        <v>1</v>
      </c>
      <c r="J101" s="4"/>
      <c r="K101" s="4"/>
    </row>
    <row r="102" spans="2:11">
      <c r="B102" s="1033"/>
      <c r="C102" s="68"/>
      <c r="D102" s="1009"/>
      <c r="E102" s="1010"/>
      <c r="F102" s="1010"/>
      <c r="G102" s="1010"/>
      <c r="H102" s="1010"/>
      <c r="I102" s="1011"/>
      <c r="J102" s="4"/>
      <c r="K102" s="4"/>
    </row>
    <row r="103" spans="2:11">
      <c r="B103" s="1033"/>
      <c r="C103" s="68"/>
      <c r="D103" s="1174" t="s">
        <v>2594</v>
      </c>
      <c r="E103" s="1175"/>
      <c r="F103" s="1175"/>
      <c r="G103" s="1175"/>
      <c r="H103" s="1175"/>
      <c r="I103" s="1176"/>
      <c r="J103" s="4"/>
      <c r="K103" s="4"/>
    </row>
    <row r="104" spans="2:11" ht="15.75" thickBot="1">
      <c r="B104" s="1033"/>
      <c r="C104" s="68"/>
      <c r="D104" s="1015"/>
      <c r="E104" s="1016"/>
      <c r="F104" s="1016"/>
      <c r="G104" s="1016"/>
      <c r="H104" s="1016"/>
      <c r="I104" s="1017"/>
      <c r="J104" s="4"/>
      <c r="K104" s="4"/>
    </row>
    <row r="105" spans="2:11" ht="15.75" thickBot="1">
      <c r="B105" s="1033"/>
      <c r="C105" s="890"/>
      <c r="D105" s="842" t="s">
        <v>1603</v>
      </c>
      <c r="E105" s="872" t="s">
        <v>2550</v>
      </c>
      <c r="F105" s="4"/>
      <c r="G105" s="4"/>
      <c r="H105" s="4"/>
      <c r="I105" s="756"/>
      <c r="J105" s="4"/>
      <c r="K105" s="4"/>
    </row>
    <row r="106" spans="2:11" ht="24.75" thickBot="1">
      <c r="B106" s="1033"/>
      <c r="C106" s="890"/>
      <c r="D106" s="845" t="s">
        <v>2595</v>
      </c>
      <c r="E106" s="108">
        <v>53</v>
      </c>
      <c r="F106" s="4"/>
      <c r="G106" s="4"/>
      <c r="H106" s="4"/>
      <c r="I106" s="756"/>
      <c r="J106" s="4"/>
      <c r="K106" s="4"/>
    </row>
    <row r="107" spans="2:11" ht="24.75" thickBot="1">
      <c r="B107" s="1033"/>
      <c r="C107" s="890"/>
      <c r="D107" s="845" t="s">
        <v>2596</v>
      </c>
      <c r="E107" s="108">
        <v>53</v>
      </c>
      <c r="F107" s="4"/>
      <c r="G107" s="4"/>
      <c r="H107" s="4"/>
      <c r="I107" s="756"/>
      <c r="J107" s="4"/>
      <c r="K107" s="4"/>
    </row>
    <row r="108" spans="2:11">
      <c r="B108" s="1033"/>
      <c r="C108" s="68"/>
      <c r="D108" s="1015"/>
      <c r="E108" s="1016"/>
      <c r="F108" s="1016"/>
      <c r="G108" s="1016"/>
      <c r="H108" s="1016"/>
      <c r="I108" s="1017"/>
      <c r="J108" s="4"/>
      <c r="K108" s="4"/>
    </row>
    <row r="109" spans="2:11">
      <c r="B109" s="1033"/>
      <c r="C109" s="68"/>
      <c r="D109" s="1015" t="s">
        <v>2597</v>
      </c>
      <c r="E109" s="1016"/>
      <c r="F109" s="1016"/>
      <c r="G109" s="1016"/>
      <c r="H109" s="1016"/>
      <c r="I109" s="1017"/>
      <c r="J109" s="4"/>
      <c r="K109" s="4"/>
    </row>
    <row r="110" spans="2:11" ht="15.75" thickBot="1">
      <c r="B110" s="1033"/>
      <c r="C110" s="68"/>
      <c r="D110" s="1044"/>
      <c r="E110" s="1045"/>
      <c r="F110" s="1045"/>
      <c r="G110" s="1045"/>
      <c r="H110" s="1045"/>
      <c r="I110" s="1046"/>
      <c r="J110" s="4"/>
      <c r="K110" s="4"/>
    </row>
    <row r="111" spans="2:11" ht="15.75" thickBot="1">
      <c r="B111" s="1033"/>
      <c r="C111" s="890"/>
      <c r="D111" s="842" t="s">
        <v>1603</v>
      </c>
      <c r="E111" s="872" t="s">
        <v>1487</v>
      </c>
      <c r="F111" s="872" t="s">
        <v>1488</v>
      </c>
      <c r="G111" s="872" t="s">
        <v>1489</v>
      </c>
      <c r="H111" s="872" t="s">
        <v>1490</v>
      </c>
      <c r="I111" s="66" t="s">
        <v>1604</v>
      </c>
      <c r="J111" s="4"/>
      <c r="K111" s="4"/>
    </row>
    <row r="112" spans="2:11" ht="36.75" thickBot="1">
      <c r="B112" s="1033"/>
      <c r="C112" s="890"/>
      <c r="D112" s="845" t="s">
        <v>2598</v>
      </c>
      <c r="E112" s="108">
        <v>13</v>
      </c>
      <c r="F112" s="108"/>
      <c r="G112" s="108"/>
      <c r="H112" s="108"/>
      <c r="I112" s="758">
        <f>SUM(E112:H112)</f>
        <v>13</v>
      </c>
      <c r="J112" s="31" t="s">
        <v>2586</v>
      </c>
      <c r="K112" s="4"/>
    </row>
    <row r="113" spans="2:11" ht="24.75" thickBot="1">
      <c r="B113" s="1033"/>
      <c r="C113" s="890"/>
      <c r="D113" s="845" t="s">
        <v>2599</v>
      </c>
      <c r="E113" s="108">
        <v>18</v>
      </c>
      <c r="F113" s="108"/>
      <c r="G113" s="108"/>
      <c r="H113" s="108"/>
      <c r="I113" s="758">
        <f>SUM(E113:H113)</f>
        <v>18</v>
      </c>
      <c r="J113" s="4"/>
      <c r="K113" s="4"/>
    </row>
    <row r="114" spans="2:11" ht="24.75" thickBot="1">
      <c r="B114" s="1034"/>
      <c r="C114" s="857"/>
      <c r="D114" s="845" t="s">
        <v>2600</v>
      </c>
      <c r="E114" s="143">
        <f>+E113/E112</f>
        <v>1.3846153846153846</v>
      </c>
      <c r="F114" s="143" t="e">
        <f>+F113/F112</f>
        <v>#DIV/0!</v>
      </c>
      <c r="G114" s="143" t="e">
        <f>+G113/G112</f>
        <v>#DIV/0!</v>
      </c>
      <c r="H114" s="143" t="e">
        <f>+H113/H112</f>
        <v>#DIV/0!</v>
      </c>
      <c r="I114" s="143">
        <f>+I113/I112</f>
        <v>1.3846153846153846</v>
      </c>
      <c r="J114" s="4"/>
      <c r="K114" s="4"/>
    </row>
    <row r="115" spans="2:11" ht="15.75" thickBot="1">
      <c r="B115" s="31"/>
      <c r="C115" s="64"/>
      <c r="D115" s="4"/>
      <c r="E115" s="4"/>
      <c r="F115" s="4"/>
      <c r="G115" s="4"/>
      <c r="H115" s="4"/>
      <c r="I115" s="63"/>
      <c r="J115" s="4"/>
      <c r="K115" s="4"/>
    </row>
    <row r="116" spans="2:11" ht="36.75" thickBot="1">
      <c r="B116" s="31"/>
      <c r="C116" s="64"/>
      <c r="D116" s="40" t="s">
        <v>2498</v>
      </c>
      <c r="E116" s="40" t="s">
        <v>2601</v>
      </c>
      <c r="F116" s="40" t="s">
        <v>2271</v>
      </c>
      <c r="G116" s="40" t="s">
        <v>2602</v>
      </c>
      <c r="H116" s="4"/>
      <c r="I116" s="63"/>
      <c r="J116" s="4"/>
      <c r="K116" s="4"/>
    </row>
    <row r="117" spans="2:11" ht="24.75" thickBot="1">
      <c r="B117" s="31"/>
      <c r="C117" s="64"/>
      <c r="D117" s="40" t="str">
        <f>+D24</f>
        <v>Porcentaje de licencias ambientales con seguimiento (PLACS)</v>
      </c>
      <c r="E117" s="143">
        <f>+E24</f>
        <v>0.65454545454545454</v>
      </c>
      <c r="F117" s="247">
        <v>0.2</v>
      </c>
      <c r="G117" s="143">
        <f>+E117*F117</f>
        <v>0.13090909090909092</v>
      </c>
      <c r="H117" s="4"/>
      <c r="I117" s="63"/>
      <c r="J117" s="4"/>
      <c r="K117" s="4"/>
    </row>
    <row r="118" spans="2:11" ht="24.75" thickBot="1">
      <c r="B118" s="31"/>
      <c r="C118" s="64"/>
      <c r="D118" s="40" t="str">
        <f>+D55</f>
        <v>Porcentaje de concesiones de agua con seguimiento (PCACS)</v>
      </c>
      <c r="E118" s="143">
        <f>+E55</f>
        <v>0.87179487179487181</v>
      </c>
      <c r="F118" s="247">
        <v>0.2</v>
      </c>
      <c r="G118" s="143">
        <f>+E118*F118</f>
        <v>0.17435897435897438</v>
      </c>
      <c r="H118" s="4"/>
      <c r="I118" s="63"/>
      <c r="J118" s="4"/>
      <c r="K118" s="4"/>
    </row>
    <row r="119" spans="2:11" ht="24.75" thickBot="1">
      <c r="B119" s="31"/>
      <c r="C119" s="64"/>
      <c r="D119" s="40" t="str">
        <f>+D76</f>
        <v>Porcentaje de permisos de vertimiento de agua con seguimiento (PVACS)</v>
      </c>
      <c r="E119" s="143">
        <f>+E76</f>
        <v>1.0285714285714285</v>
      </c>
      <c r="F119" s="247">
        <v>0.2</v>
      </c>
      <c r="G119" s="143">
        <f>+E119*F119</f>
        <v>0.20571428571428571</v>
      </c>
      <c r="H119" s="4"/>
      <c r="I119" s="63"/>
      <c r="J119" s="4"/>
      <c r="K119" s="4"/>
    </row>
    <row r="120" spans="2:11" ht="36.75" thickBot="1">
      <c r="B120" s="31"/>
      <c r="C120" s="64"/>
      <c r="D120" s="40" t="str">
        <f>+D94</f>
        <v>Porcentaje de permisos de aprovechamiento forestal con seguimiento (PPAFCS)</v>
      </c>
      <c r="E120" s="143">
        <f>+E94</f>
        <v>0.71666666666666667</v>
      </c>
      <c r="F120" s="247">
        <v>0.2</v>
      </c>
      <c r="G120" s="143">
        <f>+E120*F120</f>
        <v>0.14333333333333334</v>
      </c>
      <c r="H120" s="4"/>
      <c r="I120" s="63"/>
      <c r="J120" s="4"/>
      <c r="K120" s="4"/>
    </row>
    <row r="121" spans="2:11" ht="24.75" thickBot="1">
      <c r="B121" s="31"/>
      <c r="C121" s="64"/>
      <c r="D121" s="40" t="str">
        <f>+D114</f>
        <v>Porcentaje de permisos de emisiones atmosféricas con seguimiento (PEACS)</v>
      </c>
      <c r="E121" s="143">
        <f>+E114</f>
        <v>1.3846153846153846</v>
      </c>
      <c r="F121" s="247">
        <v>0.2</v>
      </c>
      <c r="G121" s="143">
        <f>+E121*F121</f>
        <v>0.27692307692307694</v>
      </c>
      <c r="H121" s="4"/>
      <c r="I121" s="63"/>
      <c r="J121" s="4"/>
      <c r="K121" s="4"/>
    </row>
    <row r="122" spans="2:11" ht="24.75" thickBot="1">
      <c r="B122" s="31"/>
      <c r="C122" s="64"/>
      <c r="D122" s="40" t="s">
        <v>2502</v>
      </c>
      <c r="E122" s="40"/>
      <c r="F122" s="761" t="str">
        <f>+[1]Formulas!D26</f>
        <v>ERROR: LA SUMA DE LA COLUMNA DEBE SER 100%</v>
      </c>
      <c r="G122" s="143">
        <f>SUM(G117:G121)</f>
        <v>0.93123876123876126</v>
      </c>
      <c r="H122" s="4"/>
      <c r="I122" s="63"/>
      <c r="J122" s="4"/>
      <c r="K122" s="4"/>
    </row>
    <row r="123" spans="2:11" ht="15.75" thickBot="1">
      <c r="B123" s="31"/>
      <c r="C123" s="64"/>
      <c r="D123" s="4"/>
      <c r="E123" s="4"/>
      <c r="F123" s="4"/>
      <c r="G123" s="4"/>
      <c r="H123" s="4"/>
      <c r="I123" s="63"/>
      <c r="J123" s="4"/>
      <c r="K123" s="4"/>
    </row>
    <row r="124" spans="2:11" ht="108.75" thickBot="1">
      <c r="B124" s="40" t="s">
        <v>1504</v>
      </c>
      <c r="C124" s="878"/>
      <c r="D124" s="842" t="s">
        <v>2603</v>
      </c>
      <c r="E124" s="4"/>
      <c r="F124" s="4"/>
      <c r="G124" s="4"/>
      <c r="H124" s="4"/>
      <c r="I124" s="63"/>
      <c r="J124" s="4"/>
      <c r="K124" s="4"/>
    </row>
    <row r="125" spans="2:11" ht="72.75" thickBot="1">
      <c r="B125" s="839" t="s">
        <v>1506</v>
      </c>
      <c r="C125" s="857"/>
      <c r="D125" s="845" t="s">
        <v>1613</v>
      </c>
      <c r="E125" s="4"/>
      <c r="F125" s="4"/>
      <c r="G125" s="4"/>
      <c r="H125" s="4"/>
      <c r="I125" s="63"/>
      <c r="J125" s="4"/>
      <c r="K125" s="4"/>
    </row>
    <row r="126" spans="2:11" ht="15.75" thickBot="1">
      <c r="B126" s="1"/>
      <c r="C126" s="55"/>
      <c r="D126" s="4"/>
      <c r="E126" s="4"/>
      <c r="F126" s="4"/>
      <c r="G126" s="4"/>
      <c r="H126" s="4"/>
      <c r="I126" s="63"/>
      <c r="J126" s="4"/>
      <c r="K126" s="4"/>
    </row>
    <row r="127" spans="2:11" ht="24" customHeight="1" thickBot="1">
      <c r="B127" s="1029" t="s">
        <v>1508</v>
      </c>
      <c r="C127" s="1030"/>
      <c r="D127" s="1030"/>
      <c r="E127" s="1031"/>
      <c r="F127" s="4"/>
      <c r="G127" s="4"/>
      <c r="H127" s="4"/>
      <c r="I127" s="63"/>
      <c r="J127" s="4"/>
      <c r="K127" s="4"/>
    </row>
    <row r="128" spans="2:11" ht="15.75" thickBot="1">
      <c r="B128" s="1032">
        <v>1</v>
      </c>
      <c r="C128" s="890"/>
      <c r="D128" s="37" t="s">
        <v>1509</v>
      </c>
      <c r="E128" s="121" t="s">
        <v>1510</v>
      </c>
      <c r="F128" s="4"/>
      <c r="G128" s="4"/>
      <c r="H128" s="4"/>
      <c r="I128" s="63"/>
      <c r="J128" s="4"/>
      <c r="K128" s="4"/>
    </row>
    <row r="129" spans="2:11" ht="36.75" thickBot="1">
      <c r="B129" s="1033"/>
      <c r="C129" s="890"/>
      <c r="D129" s="845" t="s">
        <v>10</v>
      </c>
      <c r="E129" s="275" t="s">
        <v>2504</v>
      </c>
      <c r="F129" s="4"/>
      <c r="G129" s="4"/>
      <c r="H129" s="4"/>
      <c r="I129" s="63"/>
      <c r="J129" s="4"/>
      <c r="K129" s="4"/>
    </row>
    <row r="130" spans="2:11" ht="24.75" thickBot="1">
      <c r="B130" s="1033"/>
      <c r="C130" s="890"/>
      <c r="D130" s="845" t="s">
        <v>1512</v>
      </c>
      <c r="E130" s="275" t="s">
        <v>1691</v>
      </c>
      <c r="F130" s="4"/>
      <c r="G130" s="4"/>
      <c r="H130" s="4"/>
      <c r="I130" s="63"/>
      <c r="J130" s="4"/>
      <c r="K130" s="4"/>
    </row>
    <row r="131" spans="2:11" ht="15.75" thickBot="1">
      <c r="B131" s="1033"/>
      <c r="C131" s="890"/>
      <c r="D131" s="845" t="s">
        <v>13</v>
      </c>
      <c r="E131" s="275" t="s">
        <v>1514</v>
      </c>
      <c r="F131" s="4"/>
      <c r="G131" s="4"/>
      <c r="H131" s="4"/>
      <c r="I131" s="63"/>
      <c r="J131" s="4"/>
      <c r="K131" s="4"/>
    </row>
    <row r="132" spans="2:11" ht="45.75" thickBot="1">
      <c r="B132" s="1033"/>
      <c r="C132" s="890"/>
      <c r="D132" s="845" t="s">
        <v>16</v>
      </c>
      <c r="E132" s="709" t="s">
        <v>1646</v>
      </c>
      <c r="F132" s="4"/>
      <c r="G132" s="4"/>
      <c r="H132" s="4"/>
      <c r="I132" s="63"/>
      <c r="J132" s="4"/>
      <c r="K132" s="4"/>
    </row>
    <row r="133" spans="2:11" ht="24.75" thickBot="1">
      <c r="B133" s="1033"/>
      <c r="C133" s="890"/>
      <c r="D133" s="845" t="s">
        <v>19</v>
      </c>
      <c r="E133" s="275" t="s">
        <v>1647</v>
      </c>
      <c r="F133" s="4"/>
      <c r="G133" s="4"/>
      <c r="H133" s="4"/>
      <c r="I133" s="63"/>
      <c r="J133" s="4"/>
      <c r="K133" s="4"/>
    </row>
    <row r="134" spans="2:11" ht="24.75" thickBot="1">
      <c r="B134" s="1034"/>
      <c r="C134" s="857"/>
      <c r="D134" s="845" t="s">
        <v>1516</v>
      </c>
      <c r="E134" s="275" t="s">
        <v>1517</v>
      </c>
      <c r="F134" s="4"/>
      <c r="G134" s="4"/>
      <c r="H134" s="4"/>
      <c r="I134" s="63"/>
      <c r="J134" s="4"/>
      <c r="K134" s="4"/>
    </row>
    <row r="135" spans="2:11" ht="15.75" thickBot="1">
      <c r="B135" s="1"/>
      <c r="C135" s="55"/>
      <c r="D135" s="4"/>
      <c r="E135" s="4"/>
      <c r="F135" s="4"/>
      <c r="G135" s="4"/>
      <c r="H135" s="4"/>
      <c r="I135" s="63"/>
      <c r="J135" s="4"/>
      <c r="K135" s="4"/>
    </row>
    <row r="136" spans="2:11" ht="15.75" thickBot="1">
      <c r="B136" s="1029" t="s">
        <v>1518</v>
      </c>
      <c r="C136" s="1030"/>
      <c r="D136" s="1030"/>
      <c r="E136" s="1031"/>
      <c r="F136" s="4"/>
      <c r="G136" s="4"/>
      <c r="H136" s="4"/>
      <c r="I136" s="63"/>
      <c r="J136" s="4"/>
      <c r="K136" s="4"/>
    </row>
    <row r="137" spans="2:11" ht="15.75" thickBot="1">
      <c r="B137" s="1032">
        <v>1</v>
      </c>
      <c r="C137" s="890"/>
      <c r="D137" s="37" t="s">
        <v>1509</v>
      </c>
      <c r="E137" s="299" t="s">
        <v>1519</v>
      </c>
      <c r="F137" s="4"/>
      <c r="G137" s="4"/>
      <c r="H137" s="4"/>
      <c r="I137" s="63"/>
      <c r="J137" s="4"/>
      <c r="K137" s="4"/>
    </row>
    <row r="138" spans="2:11" ht="15.75" thickBot="1">
      <c r="B138" s="1033"/>
      <c r="C138" s="890"/>
      <c r="D138" s="845" t="s">
        <v>10</v>
      </c>
      <c r="E138" s="299" t="s">
        <v>1616</v>
      </c>
      <c r="F138" s="4"/>
      <c r="G138" s="4"/>
      <c r="H138" s="4"/>
      <c r="I138" s="63"/>
      <c r="J138" s="4"/>
      <c r="K138" s="4"/>
    </row>
    <row r="139" spans="2:11" ht="15.75" thickBot="1">
      <c r="B139" s="1033"/>
      <c r="C139" s="890"/>
      <c r="D139" s="845" t="s">
        <v>1512</v>
      </c>
      <c r="E139" s="126"/>
      <c r="F139" s="4"/>
      <c r="G139" s="4"/>
      <c r="H139" s="4"/>
      <c r="I139" s="63"/>
      <c r="J139" s="4"/>
      <c r="K139" s="4"/>
    </row>
    <row r="140" spans="2:11" ht="15.75" thickBot="1">
      <c r="B140" s="1033"/>
      <c r="C140" s="890"/>
      <c r="D140" s="845" t="s">
        <v>13</v>
      </c>
      <c r="E140" s="126"/>
      <c r="F140" s="4"/>
      <c r="G140" s="4"/>
      <c r="H140" s="4"/>
      <c r="I140" s="63"/>
      <c r="J140" s="4"/>
      <c r="K140" s="4"/>
    </row>
    <row r="141" spans="2:11" ht="15.75" thickBot="1">
      <c r="B141" s="1033"/>
      <c r="C141" s="890"/>
      <c r="D141" s="845" t="s">
        <v>16</v>
      </c>
      <c r="E141" s="126"/>
      <c r="F141" s="4"/>
      <c r="G141" s="4"/>
      <c r="H141" s="4"/>
      <c r="I141" s="63"/>
      <c r="J141" s="4"/>
      <c r="K141" s="4"/>
    </row>
    <row r="142" spans="2:11" ht="15.75" thickBot="1">
      <c r="B142" s="1033"/>
      <c r="C142" s="890"/>
      <c r="D142" s="845" t="s">
        <v>19</v>
      </c>
      <c r="E142" s="126"/>
      <c r="F142" s="4"/>
      <c r="G142" s="4"/>
      <c r="H142" s="4"/>
      <c r="I142" s="63"/>
      <c r="J142" s="4"/>
      <c r="K142" s="4"/>
    </row>
    <row r="143" spans="2:11" ht="15.75" thickBot="1">
      <c r="B143" s="1034"/>
      <c r="C143" s="857"/>
      <c r="D143" s="845" t="s">
        <v>1516</v>
      </c>
      <c r="E143" s="126"/>
      <c r="F143" s="4"/>
      <c r="G143" s="4"/>
      <c r="H143" s="4"/>
      <c r="I143" s="63"/>
      <c r="J143" s="4"/>
      <c r="K143" s="4"/>
    </row>
    <row r="144" spans="2:11" ht="15.75" thickBot="1">
      <c r="B144" s="1"/>
      <c r="C144" s="55"/>
      <c r="D144" s="4"/>
      <c r="E144" s="4"/>
      <c r="F144" s="4"/>
      <c r="G144" s="4"/>
      <c r="H144" s="4"/>
      <c r="I144" s="63"/>
      <c r="J144" s="4"/>
      <c r="K144" s="4"/>
    </row>
    <row r="145" spans="2:11" ht="15" customHeight="1" thickBot="1">
      <c r="B145" s="125" t="s">
        <v>1521</v>
      </c>
      <c r="C145" s="847"/>
      <c r="D145" s="847"/>
      <c r="E145" s="848"/>
      <c r="G145" s="4"/>
      <c r="H145" s="4"/>
      <c r="I145" s="63"/>
      <c r="J145" s="4"/>
      <c r="K145" s="4"/>
    </row>
    <row r="146" spans="2:11" ht="24.75" thickBot="1">
      <c r="B146" s="839" t="s">
        <v>1522</v>
      </c>
      <c r="C146" s="845" t="s">
        <v>1523</v>
      </c>
      <c r="D146" s="845" t="s">
        <v>1524</v>
      </c>
      <c r="E146" s="845" t="s">
        <v>1525</v>
      </c>
      <c r="F146" s="4"/>
      <c r="G146" s="4"/>
      <c r="H146" s="4"/>
      <c r="I146" s="63"/>
      <c r="J146" s="4"/>
    </row>
    <row r="147" spans="2:11" ht="60.75" thickBot="1">
      <c r="B147" s="38">
        <v>42401</v>
      </c>
      <c r="C147" s="845">
        <v>0.01</v>
      </c>
      <c r="D147" s="837" t="s">
        <v>2604</v>
      </c>
      <c r="E147" s="845"/>
      <c r="F147" s="4"/>
      <c r="G147" s="4"/>
      <c r="H147" s="4"/>
      <c r="I147" s="63"/>
      <c r="J147" s="4"/>
    </row>
    <row r="148" spans="2:11" ht="15.75" thickBot="1">
      <c r="B148" s="2"/>
      <c r="C148" s="70"/>
      <c r="D148" s="4"/>
      <c r="E148" s="4"/>
      <c r="F148" s="4"/>
      <c r="G148" s="4"/>
      <c r="H148" s="4"/>
      <c r="I148" s="63"/>
      <c r="J148" s="4"/>
      <c r="K148" s="4"/>
    </row>
    <row r="149" spans="2:11" ht="15.75" thickBot="1">
      <c r="B149" s="879" t="s">
        <v>1406</v>
      </c>
      <c r="C149" s="705"/>
      <c r="D149" s="4"/>
      <c r="E149" s="4"/>
      <c r="F149" s="4"/>
      <c r="G149" s="4"/>
      <c r="H149" s="4"/>
      <c r="I149" s="63"/>
      <c r="J149" s="4"/>
      <c r="K149" s="4"/>
    </row>
    <row r="150" spans="2:11" ht="63" customHeight="1" thickBot="1">
      <c r="B150" s="1224"/>
      <c r="C150" s="1225"/>
      <c r="D150" s="1225"/>
      <c r="E150" s="1226"/>
      <c r="F150" s="4"/>
      <c r="G150" s="4"/>
      <c r="H150" s="4"/>
      <c r="I150" s="63"/>
      <c r="J150" s="4"/>
      <c r="K150" s="4"/>
    </row>
    <row r="151" spans="2:11" ht="15.75" thickBot="1">
      <c r="B151" s="4"/>
      <c r="D151" s="4"/>
      <c r="E151" s="4"/>
      <c r="F151" s="4"/>
      <c r="G151" s="4"/>
      <c r="H151" s="4"/>
      <c r="I151" s="63"/>
      <c r="J151" s="4"/>
      <c r="K151" s="4"/>
    </row>
    <row r="152" spans="2:11" ht="24.75" thickBot="1">
      <c r="B152" s="39" t="s">
        <v>1527</v>
      </c>
      <c r="C152" s="708"/>
      <c r="D152" s="4"/>
      <c r="E152" s="4"/>
      <c r="F152" s="4"/>
      <c r="G152" s="4"/>
      <c r="H152" s="4"/>
      <c r="I152" s="63"/>
      <c r="J152" s="4"/>
      <c r="K152" s="4"/>
    </row>
    <row r="153" spans="2:11" ht="15.75" thickBot="1">
      <c r="B153" s="1" t="s">
        <v>154</v>
      </c>
      <c r="C153" s="55"/>
      <c r="D153" s="4"/>
      <c r="E153" s="4"/>
      <c r="F153" s="4"/>
      <c r="G153" s="4"/>
      <c r="H153" s="4"/>
      <c r="I153" s="63"/>
      <c r="J153" s="4"/>
      <c r="K153" s="4"/>
    </row>
    <row r="154" spans="2:11" ht="60.75" thickBot="1">
      <c r="B154" s="40" t="s">
        <v>1528</v>
      </c>
      <c r="C154" s="878"/>
      <c r="D154" s="842" t="s">
        <v>2605</v>
      </c>
      <c r="E154" s="4"/>
      <c r="F154" s="4"/>
      <c r="G154" s="4"/>
      <c r="H154" s="4"/>
      <c r="I154" s="63"/>
      <c r="J154" s="4"/>
      <c r="K154" s="4"/>
    </row>
    <row r="155" spans="2:11">
      <c r="B155" s="1032" t="s">
        <v>1530</v>
      </c>
      <c r="C155" s="890"/>
      <c r="D155" s="836" t="s">
        <v>1531</v>
      </c>
      <c r="E155" s="4"/>
      <c r="F155" s="4"/>
      <c r="G155" s="4"/>
      <c r="H155" s="4"/>
      <c r="I155" s="63"/>
      <c r="J155" s="4"/>
      <c r="K155" s="4"/>
    </row>
    <row r="156" spans="2:11" ht="108">
      <c r="B156" s="1033"/>
      <c r="C156" s="890"/>
      <c r="D156" s="829" t="s">
        <v>2606</v>
      </c>
      <c r="E156" s="4"/>
      <c r="F156" s="4"/>
      <c r="G156" s="4"/>
      <c r="H156" s="4"/>
      <c r="I156" s="63"/>
      <c r="J156" s="4"/>
      <c r="K156" s="4"/>
    </row>
    <row r="157" spans="2:11">
      <c r="B157" s="1033"/>
      <c r="C157" s="890"/>
      <c r="D157" s="836" t="s">
        <v>1620</v>
      </c>
      <c r="E157" s="4"/>
      <c r="F157" s="4"/>
      <c r="G157" s="4"/>
      <c r="H157" s="4"/>
      <c r="I157" s="63"/>
      <c r="J157" s="4"/>
      <c r="K157" s="4"/>
    </row>
    <row r="158" spans="2:11">
      <c r="B158" s="1033"/>
      <c r="C158" s="890"/>
      <c r="D158" s="829" t="s">
        <v>1535</v>
      </c>
      <c r="E158" s="4"/>
      <c r="F158" s="4"/>
      <c r="G158" s="4"/>
      <c r="H158" s="4"/>
      <c r="I158" s="63"/>
      <c r="J158" s="4"/>
      <c r="K158" s="4"/>
    </row>
    <row r="159" spans="2:11">
      <c r="B159" s="1033"/>
      <c r="C159" s="890"/>
      <c r="D159" s="829" t="s">
        <v>1536</v>
      </c>
      <c r="E159" s="4"/>
      <c r="F159" s="4"/>
      <c r="G159" s="4"/>
      <c r="H159" s="4"/>
      <c r="I159" s="63"/>
      <c r="J159" s="4"/>
      <c r="K159" s="4"/>
    </row>
    <row r="160" spans="2:11">
      <c r="B160" s="1033"/>
      <c r="C160" s="890"/>
      <c r="D160" s="829" t="s">
        <v>2509</v>
      </c>
      <c r="E160" s="4"/>
      <c r="F160" s="4"/>
      <c r="G160" s="4"/>
      <c r="H160" s="4"/>
      <c r="I160" s="63"/>
      <c r="J160" s="4"/>
      <c r="K160" s="4"/>
    </row>
    <row r="161" spans="2:11" ht="36.75" thickBot="1">
      <c r="B161" s="1034"/>
      <c r="C161" s="857"/>
      <c r="D161" s="845" t="s">
        <v>2607</v>
      </c>
      <c r="E161" s="4"/>
      <c r="F161" s="4"/>
      <c r="G161" s="4"/>
      <c r="H161" s="4"/>
      <c r="I161" s="63"/>
      <c r="J161" s="4"/>
      <c r="K161" s="4"/>
    </row>
    <row r="162" spans="2:11" ht="24.75" thickBot="1">
      <c r="B162" s="839" t="s">
        <v>1543</v>
      </c>
      <c r="C162" s="857"/>
      <c r="D162" s="845"/>
      <c r="E162" s="4"/>
      <c r="F162" s="4"/>
      <c r="G162" s="4"/>
      <c r="H162" s="4"/>
      <c r="I162" s="63"/>
      <c r="J162" s="4"/>
      <c r="K162" s="4"/>
    </row>
    <row r="163" spans="2:11" ht="312">
      <c r="B163" s="1032" t="s">
        <v>1544</v>
      </c>
      <c r="C163" s="890"/>
      <c r="D163" s="829" t="s">
        <v>2608</v>
      </c>
      <c r="E163" s="4"/>
      <c r="F163" s="4"/>
      <c r="G163" s="4"/>
      <c r="H163" s="4"/>
      <c r="I163" s="63"/>
      <c r="J163" s="4"/>
      <c r="K163" s="4"/>
    </row>
    <row r="164" spans="2:11" ht="324">
      <c r="B164" s="1033"/>
      <c r="C164" s="890"/>
      <c r="D164" s="829" t="s">
        <v>2609</v>
      </c>
      <c r="E164" s="4"/>
      <c r="F164" s="4"/>
      <c r="G164" s="4"/>
      <c r="H164" s="4"/>
      <c r="I164" s="63"/>
      <c r="J164" s="4"/>
      <c r="K164" s="4"/>
    </row>
    <row r="165" spans="2:11" ht="108">
      <c r="B165" s="1033"/>
      <c r="C165" s="890"/>
      <c r="D165" s="829" t="s">
        <v>2610</v>
      </c>
      <c r="E165" s="4"/>
      <c r="F165" s="4"/>
      <c r="G165" s="4"/>
      <c r="H165" s="4"/>
      <c r="I165" s="63"/>
      <c r="J165" s="4"/>
      <c r="K165" s="4"/>
    </row>
    <row r="166" spans="2:11" ht="72.75" thickBot="1">
      <c r="B166" s="1034"/>
      <c r="C166" s="857"/>
      <c r="D166" s="845" t="s">
        <v>2611</v>
      </c>
      <c r="E166" s="4"/>
      <c r="F166" s="4"/>
      <c r="G166" s="4"/>
      <c r="H166" s="4"/>
      <c r="I166" s="63"/>
      <c r="J166" s="4"/>
      <c r="K166" s="4"/>
    </row>
    <row r="167" spans="2:11" ht="24">
      <c r="B167" s="1032" t="s">
        <v>1561</v>
      </c>
      <c r="C167" s="890"/>
      <c r="D167" s="836" t="s">
        <v>757</v>
      </c>
      <c r="E167" s="4"/>
      <c r="F167" s="4"/>
      <c r="G167" s="4"/>
      <c r="H167" s="4"/>
      <c r="I167" s="63"/>
      <c r="J167" s="4"/>
      <c r="K167" s="4"/>
    </row>
    <row r="168" spans="2:11">
      <c r="B168" s="1033"/>
      <c r="C168" s="890"/>
      <c r="D168" s="826"/>
      <c r="E168" s="4"/>
      <c r="F168" s="4"/>
      <c r="G168" s="4"/>
      <c r="H168" s="4"/>
      <c r="I168" s="63"/>
      <c r="J168" s="4"/>
      <c r="K168" s="4"/>
    </row>
    <row r="169" spans="2:11">
      <c r="B169" s="1033"/>
      <c r="C169" s="890"/>
      <c r="D169" s="829" t="s">
        <v>1562</v>
      </c>
      <c r="E169" s="4"/>
      <c r="F169" s="4"/>
      <c r="G169" s="4"/>
      <c r="H169" s="4"/>
      <c r="I169" s="63"/>
      <c r="J169" s="4"/>
      <c r="K169" s="4"/>
    </row>
    <row r="170" spans="2:11" ht="37.5">
      <c r="B170" s="1033"/>
      <c r="C170" s="890"/>
      <c r="D170" s="829" t="s">
        <v>2612</v>
      </c>
      <c r="E170" s="4"/>
      <c r="F170" s="4"/>
      <c r="G170" s="4"/>
      <c r="H170" s="4"/>
      <c r="I170" s="63"/>
      <c r="J170" s="4"/>
      <c r="K170" s="4"/>
    </row>
    <row r="171" spans="2:11" ht="37.5">
      <c r="B171" s="1033"/>
      <c r="C171" s="890"/>
      <c r="D171" s="829" t="s">
        <v>2613</v>
      </c>
      <c r="E171" s="4"/>
      <c r="F171" s="4"/>
      <c r="G171" s="4"/>
      <c r="H171" s="4"/>
      <c r="I171" s="63"/>
      <c r="J171" s="4"/>
      <c r="K171" s="4"/>
    </row>
    <row r="172" spans="2:11" ht="60">
      <c r="B172" s="1033"/>
      <c r="C172" s="890"/>
      <c r="D172" s="829" t="s">
        <v>2614</v>
      </c>
      <c r="E172" s="4"/>
      <c r="F172" s="4"/>
      <c r="G172" s="4"/>
      <c r="H172" s="4"/>
      <c r="I172" s="63"/>
      <c r="J172" s="4"/>
      <c r="K172" s="4"/>
    </row>
    <row r="173" spans="2:11" ht="97.5">
      <c r="B173" s="1033"/>
      <c r="C173" s="890"/>
      <c r="D173" s="829" t="s">
        <v>2615</v>
      </c>
      <c r="E173" s="4"/>
      <c r="F173" s="4"/>
      <c r="G173" s="4"/>
      <c r="H173" s="4"/>
      <c r="I173" s="63"/>
      <c r="J173" s="4"/>
      <c r="K173" s="4"/>
    </row>
    <row r="174" spans="2:11" ht="24">
      <c r="B174" s="1033"/>
      <c r="C174" s="890"/>
      <c r="D174" s="836" t="s">
        <v>2616</v>
      </c>
      <c r="E174" s="4"/>
      <c r="F174" s="4"/>
      <c r="G174" s="4"/>
      <c r="H174" s="4"/>
      <c r="I174" s="63"/>
      <c r="J174" s="4"/>
      <c r="K174" s="4"/>
    </row>
    <row r="175" spans="2:11">
      <c r="B175" s="1033"/>
      <c r="C175" s="890"/>
      <c r="D175" s="826"/>
      <c r="E175" s="4"/>
      <c r="F175" s="4"/>
      <c r="G175" s="4"/>
      <c r="H175" s="4"/>
      <c r="I175" s="63"/>
      <c r="J175" s="4"/>
      <c r="K175" s="4"/>
    </row>
    <row r="176" spans="2:11">
      <c r="B176" s="1033"/>
      <c r="C176" s="890"/>
      <c r="D176" s="829" t="s">
        <v>1562</v>
      </c>
      <c r="E176" s="4"/>
      <c r="F176" s="4"/>
      <c r="G176" s="4"/>
      <c r="H176" s="4"/>
      <c r="I176" s="63"/>
      <c r="J176" s="4"/>
      <c r="K176" s="4"/>
    </row>
    <row r="177" spans="2:11" ht="37.5">
      <c r="B177" s="1033"/>
      <c r="C177" s="890"/>
      <c r="D177" s="829" t="s">
        <v>2617</v>
      </c>
      <c r="E177" s="4"/>
      <c r="F177" s="4"/>
      <c r="G177" s="4"/>
      <c r="H177" s="4"/>
      <c r="I177" s="63"/>
      <c r="J177" s="4"/>
      <c r="K177" s="4"/>
    </row>
    <row r="178" spans="2:11" ht="37.5">
      <c r="B178" s="1033"/>
      <c r="C178" s="890"/>
      <c r="D178" s="829" t="s">
        <v>2618</v>
      </c>
      <c r="E178" s="4"/>
      <c r="F178" s="4"/>
      <c r="G178" s="4"/>
      <c r="H178" s="4"/>
      <c r="I178" s="63"/>
      <c r="J178" s="4"/>
      <c r="K178" s="4"/>
    </row>
    <row r="179" spans="2:11" ht="37.5">
      <c r="B179" s="1033"/>
      <c r="C179" s="890"/>
      <c r="D179" s="829" t="s">
        <v>2619</v>
      </c>
      <c r="E179" s="4"/>
      <c r="F179" s="4"/>
      <c r="G179" s="4"/>
      <c r="H179" s="4"/>
      <c r="I179" s="63"/>
      <c r="J179" s="4"/>
      <c r="K179" s="4"/>
    </row>
    <row r="180" spans="2:11" ht="60">
      <c r="B180" s="1033"/>
      <c r="C180" s="890"/>
      <c r="D180" s="829" t="s">
        <v>2614</v>
      </c>
      <c r="E180" s="4"/>
      <c r="F180" s="4"/>
      <c r="G180" s="4"/>
      <c r="H180" s="4"/>
      <c r="I180" s="63"/>
      <c r="J180" s="4"/>
      <c r="K180" s="4"/>
    </row>
    <row r="181" spans="2:11" ht="60.75" thickBot="1">
      <c r="B181" s="1034"/>
      <c r="C181" s="857"/>
      <c r="D181" s="845" t="s">
        <v>2620</v>
      </c>
      <c r="E181" s="4"/>
      <c r="F181" s="4"/>
      <c r="G181" s="4"/>
      <c r="H181" s="4"/>
      <c r="I181" s="63"/>
      <c r="J181" s="4"/>
      <c r="K181" s="4"/>
    </row>
    <row r="182" spans="2:11">
      <c r="B182" s="4"/>
      <c r="D182" s="4"/>
      <c r="E182" s="4"/>
      <c r="F182" s="4"/>
      <c r="G182" s="4"/>
      <c r="H182" s="4"/>
      <c r="I182" s="63"/>
      <c r="J182" s="4"/>
      <c r="K182" s="4"/>
    </row>
    <row r="183" spans="2:11">
      <c r="B183" s="4"/>
      <c r="D183" s="4"/>
      <c r="E183" s="4"/>
      <c r="F183" s="4"/>
      <c r="G183" s="4"/>
      <c r="H183" s="4"/>
      <c r="I183" s="63"/>
      <c r="J183" s="4"/>
      <c r="K183" s="4"/>
    </row>
    <row r="184" spans="2:11">
      <c r="B184" s="4"/>
      <c r="D184" s="4"/>
      <c r="E184" s="4"/>
      <c r="F184" s="4"/>
      <c r="G184" s="4"/>
      <c r="H184" s="4"/>
      <c r="I184" s="63"/>
      <c r="J184" s="4"/>
      <c r="K184" s="4"/>
    </row>
    <row r="185" spans="2:11">
      <c r="B185" s="4"/>
      <c r="D185" s="4"/>
      <c r="E185" s="4"/>
      <c r="F185" s="4"/>
      <c r="G185" s="4"/>
      <c r="H185" s="4"/>
      <c r="I185" s="63"/>
      <c r="J185" s="4"/>
      <c r="K185" s="4"/>
    </row>
    <row r="186" spans="2:11">
      <c r="B186" s="4"/>
      <c r="D186" s="4"/>
      <c r="E186" s="4"/>
      <c r="F186" s="4"/>
      <c r="G186" s="4"/>
      <c r="H186" s="4"/>
      <c r="I186" s="63"/>
      <c r="J186" s="4"/>
      <c r="K186" s="4"/>
    </row>
    <row r="187" spans="2:11">
      <c r="B187" s="4"/>
      <c r="D187" s="4"/>
      <c r="E187" s="4"/>
      <c r="F187" s="4"/>
      <c r="G187" s="4"/>
      <c r="H187" s="4"/>
      <c r="I187" s="63"/>
      <c r="J187" s="4"/>
      <c r="K187" s="4"/>
    </row>
    <row r="188" spans="2:11">
      <c r="B188" s="4"/>
      <c r="D188" s="4"/>
      <c r="E188" s="4"/>
      <c r="F188" s="4"/>
      <c r="G188" s="4"/>
      <c r="H188" s="4"/>
      <c r="I188" s="63"/>
      <c r="J188" s="4"/>
      <c r="K188" s="4"/>
    </row>
    <row r="189" spans="2:11">
      <c r="B189" s="4"/>
      <c r="D189" s="4"/>
      <c r="E189" s="4"/>
      <c r="F189" s="4"/>
      <c r="G189" s="4"/>
      <c r="H189" s="4"/>
      <c r="I189" s="63"/>
      <c r="J189" s="4"/>
      <c r="K189" s="4"/>
    </row>
    <row r="190" spans="2:11">
      <c r="B190" s="4"/>
      <c r="D190" s="4"/>
      <c r="E190" s="4"/>
      <c r="F190" s="4"/>
      <c r="G190" s="4"/>
      <c r="H190" s="4"/>
      <c r="I190" s="63"/>
      <c r="J190" s="4"/>
      <c r="K190" s="4"/>
    </row>
    <row r="191" spans="2:11">
      <c r="B191" s="4"/>
      <c r="D191" s="4"/>
      <c r="E191" s="4"/>
      <c r="F191" s="4"/>
      <c r="G191" s="4"/>
      <c r="H191" s="4"/>
      <c r="I191" s="63"/>
      <c r="J191" s="4"/>
      <c r="K191" s="4"/>
    </row>
    <row r="192" spans="2:11">
      <c r="B192" s="4"/>
      <c r="D192" s="4"/>
      <c r="E192" s="4"/>
      <c r="F192" s="4"/>
      <c r="G192" s="4"/>
      <c r="H192" s="4"/>
      <c r="I192" s="63"/>
      <c r="J192" s="4"/>
      <c r="K192" s="4"/>
    </row>
    <row r="193" spans="2:11">
      <c r="B193" s="4"/>
      <c r="D193" s="4"/>
      <c r="E193" s="4"/>
      <c r="F193" s="4"/>
      <c r="G193" s="4"/>
      <c r="H193" s="4"/>
      <c r="I193" s="63"/>
      <c r="J193" s="4"/>
      <c r="K193" s="4"/>
    </row>
    <row r="194" spans="2:11">
      <c r="B194" s="4"/>
      <c r="D194" s="4"/>
      <c r="E194" s="4"/>
      <c r="F194" s="4"/>
      <c r="G194" s="4"/>
      <c r="H194" s="4"/>
      <c r="I194" s="63"/>
      <c r="J194" s="4"/>
      <c r="K194" s="4"/>
    </row>
    <row r="195" spans="2:11">
      <c r="B195" s="4"/>
      <c r="D195" s="4"/>
      <c r="E195" s="4"/>
      <c r="F195" s="4"/>
      <c r="G195" s="4"/>
      <c r="H195" s="4"/>
      <c r="I195" s="63"/>
      <c r="J195" s="4"/>
      <c r="K195" s="4"/>
    </row>
    <row r="196" spans="2:11">
      <c r="B196" s="4"/>
      <c r="D196" s="4"/>
      <c r="E196" s="4"/>
      <c r="F196" s="4"/>
      <c r="G196" s="4"/>
      <c r="H196" s="4"/>
      <c r="I196" s="63"/>
      <c r="J196" s="4"/>
      <c r="K196" s="4"/>
    </row>
    <row r="197" spans="2:11">
      <c r="B197" s="4"/>
      <c r="D197" s="4"/>
      <c r="E197" s="4"/>
      <c r="F197" s="4"/>
      <c r="G197" s="4"/>
      <c r="H197" s="4"/>
      <c r="I197" s="63"/>
      <c r="J197" s="4"/>
      <c r="K197" s="4"/>
    </row>
  </sheetData>
  <mergeCells count="59">
    <mergeCell ref="B137:B143"/>
    <mergeCell ref="D104:I104"/>
    <mergeCell ref="D108:I108"/>
    <mergeCell ref="D109:I109"/>
    <mergeCell ref="D110:I110"/>
    <mergeCell ref="B127:E127"/>
    <mergeCell ref="B128:B134"/>
    <mergeCell ref="D95:I95"/>
    <mergeCell ref="D96:I96"/>
    <mergeCell ref="D97:I97"/>
    <mergeCell ref="D102:I102"/>
    <mergeCell ref="B136:E136"/>
    <mergeCell ref="D84:I84"/>
    <mergeCell ref="D85:I85"/>
    <mergeCell ref="D89:I89"/>
    <mergeCell ref="D90:I90"/>
    <mergeCell ref="D79:I79"/>
    <mergeCell ref="G27:G28"/>
    <mergeCell ref="B15:B114"/>
    <mergeCell ref="D15:I15"/>
    <mergeCell ref="D16:I16"/>
    <mergeCell ref="D17:I17"/>
    <mergeCell ref="D20:I20"/>
    <mergeCell ref="D25:I25"/>
    <mergeCell ref="D26:I26"/>
    <mergeCell ref="D42:I42"/>
    <mergeCell ref="D43:I43"/>
    <mergeCell ref="F27:F28"/>
    <mergeCell ref="D71:I71"/>
    <mergeCell ref="D44:I44"/>
    <mergeCell ref="D49:I49"/>
    <mergeCell ref="D50:I50"/>
    <mergeCell ref="D51:I51"/>
    <mergeCell ref="B150:E150"/>
    <mergeCell ref="B155:B161"/>
    <mergeCell ref="B163:B166"/>
    <mergeCell ref="B167:B181"/>
    <mergeCell ref="D27:D28"/>
    <mergeCell ref="E27:E28"/>
    <mergeCell ref="D56:I56"/>
    <mergeCell ref="D57:I57"/>
    <mergeCell ref="D58:I58"/>
    <mergeCell ref="D63:I63"/>
    <mergeCell ref="D64:I64"/>
    <mergeCell ref="D65:I65"/>
    <mergeCell ref="D70:I70"/>
    <mergeCell ref="D103:I103"/>
    <mergeCell ref="D72:I72"/>
    <mergeCell ref="D78:I78"/>
    <mergeCell ref="B10:D10"/>
    <mergeCell ref="F10:S10"/>
    <mergeCell ref="F11:S11"/>
    <mergeCell ref="E12:R12"/>
    <mergeCell ref="E13:R13"/>
    <mergeCell ref="A1:P1"/>
    <mergeCell ref="A2:P2"/>
    <mergeCell ref="A3:P3"/>
    <mergeCell ref="A4:D4"/>
    <mergeCell ref="A5:P5"/>
  </mergeCells>
  <conditionalFormatting sqref="F122">
    <cfRule type="containsText" dxfId="38" priority="5" operator="containsText" text="ERROR">
      <formula>NOT(ISERROR(SEARCH("ERROR",F122)))</formula>
    </cfRule>
  </conditionalFormatting>
  <conditionalFormatting sqref="F10">
    <cfRule type="notContainsBlanks" dxfId="37" priority="4">
      <formula>LEN(TRIM(F10))&gt;0</formula>
    </cfRule>
  </conditionalFormatting>
  <conditionalFormatting sqref="F11:S11">
    <cfRule type="expression" dxfId="36" priority="2">
      <formula>E11="NO SE REPORTA"</formula>
    </cfRule>
    <cfRule type="expression" dxfId="35" priority="3">
      <formula>E10="NO APLICA"</formula>
    </cfRule>
  </conditionalFormatting>
  <conditionalFormatting sqref="E12:R12">
    <cfRule type="expression" dxfId="34"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06:E107 E18:E19 E99:H100 E46:E48 E22:H23 E53:H54 E60:H61 E74:H75 E81:H82 E87:E88 E112:H113 E92:H93 E29:H40 E67:E69" xr:uid="{00000000-0002-0000-1E00-000000000000}">
      <formula1>0</formula1>
    </dataValidation>
    <dataValidation allowBlank="1" showInputMessage="1" showErrorMessage="1" sqref="E62:H62 E76:I76 I74:I75 I81:I83 E83:H83 E24:H24 E41:H41 I53:I55 E55:H55 I60:I62" xr:uid="{00000000-0002-0000-1E00-000001000000}"/>
    <dataValidation type="decimal" allowBlank="1" showInputMessage="1" showErrorMessage="1" errorTitle="ERROR" error="Escriba un valor entre 0% y 100%" sqref="F117:F121" xr:uid="{00000000-0002-0000-1E00-000002000000}">
      <formula1>0</formula1>
      <formula2>1</formula2>
    </dataValidation>
    <dataValidation type="list" allowBlank="1" showInputMessage="1" showErrorMessage="1" sqref="E11" xr:uid="{00000000-0002-0000-1E00-000003000000}">
      <formula1>REPORTE</formula1>
    </dataValidation>
    <dataValidation type="list" allowBlank="1" showInputMessage="1" showErrorMessage="1" sqref="E10" xr:uid="{00000000-0002-0000-1E00-000004000000}">
      <formula1>SI</formula1>
    </dataValidation>
  </dataValidations>
  <hyperlinks>
    <hyperlink ref="B9" location="'ANEXO 3'!A1" display="VOLVER AL INDICE" xr:uid="{00000000-0004-0000-1E00-000000000000}"/>
    <hyperlink ref="E132" r:id="rId1" xr:uid="{00000000-0004-0000-1E00-000001000000}"/>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U179"/>
  <sheetViews>
    <sheetView showGridLines="0" topLeftCell="A7" zoomScale="98" zoomScaleNormal="98" workbookViewId="0">
      <selection activeCell="E26" sqref="E26:E32"/>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758</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INFORMACION",+E21))</f>
        <v>3.8235294117647061</v>
      </c>
      <c r="E8" s="165"/>
      <c r="F8" s="4" t="s">
        <v>1441</v>
      </c>
      <c r="G8" s="4"/>
      <c r="H8" s="4"/>
      <c r="I8" s="4"/>
      <c r="J8" s="4"/>
      <c r="K8" s="4"/>
    </row>
    <row r="9" spans="1:21">
      <c r="B9" s="300" t="s">
        <v>1442</v>
      </c>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2473</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D14" s="4"/>
      <c r="E14" s="4"/>
      <c r="F14" s="4"/>
      <c r="G14" s="4"/>
      <c r="H14" s="4"/>
      <c r="I14" s="4"/>
      <c r="J14" s="4"/>
      <c r="K14" s="4"/>
    </row>
    <row r="15" spans="1:21">
      <c r="B15" s="1032" t="s">
        <v>1449</v>
      </c>
      <c r="C15" s="65"/>
      <c r="D15" s="1009"/>
      <c r="E15" s="1010"/>
      <c r="F15" s="1010"/>
      <c r="G15" s="1010"/>
      <c r="H15" s="1010"/>
      <c r="I15" s="1011"/>
      <c r="J15" s="4"/>
      <c r="K15" s="4"/>
    </row>
    <row r="16" spans="1:21" ht="15.75" thickBot="1">
      <c r="B16" s="1033"/>
      <c r="C16" s="68"/>
      <c r="D16" s="1044" t="s">
        <v>1450</v>
      </c>
      <c r="E16" s="1045"/>
      <c r="F16" s="1045"/>
      <c r="G16" s="1045"/>
      <c r="H16" s="1045"/>
      <c r="I16" s="1046"/>
      <c r="J16" s="4"/>
      <c r="K16" s="4"/>
    </row>
    <row r="17" spans="2:11" ht="15.75" thickBot="1">
      <c r="B17" s="1033"/>
      <c r="C17" s="890"/>
      <c r="D17" s="842" t="s">
        <v>1603</v>
      </c>
      <c r="E17" s="872" t="s">
        <v>1487</v>
      </c>
      <c r="F17" s="872" t="s">
        <v>1488</v>
      </c>
      <c r="G17" s="872" t="s">
        <v>1489</v>
      </c>
      <c r="H17" s="872" t="s">
        <v>1490</v>
      </c>
      <c r="I17" s="872" t="s">
        <v>1604</v>
      </c>
      <c r="J17" s="4"/>
      <c r="K17" s="4"/>
    </row>
    <row r="18" spans="2:11" ht="36.75" thickBot="1">
      <c r="B18" s="1033"/>
      <c r="C18" s="890"/>
      <c r="D18" s="845" t="s">
        <v>2621</v>
      </c>
      <c r="E18" s="108">
        <v>17</v>
      </c>
      <c r="F18" s="108"/>
      <c r="G18" s="108"/>
      <c r="H18" s="108"/>
      <c r="I18" s="757">
        <f>SUM(E18:H18)</f>
        <v>17</v>
      </c>
      <c r="J18" s="4"/>
      <c r="K18" s="4"/>
    </row>
    <row r="19" spans="2:11" ht="36.75" thickBot="1">
      <c r="B19" s="1033"/>
      <c r="C19" s="890"/>
      <c r="D19" s="845" t="s">
        <v>2622</v>
      </c>
      <c r="E19" s="108">
        <v>63</v>
      </c>
      <c r="F19" s="108"/>
      <c r="G19" s="108"/>
      <c r="H19" s="108"/>
      <c r="I19" s="757">
        <f>SUM(E19:H19)</f>
        <v>63</v>
      </c>
      <c r="J19" s="4"/>
      <c r="K19" s="4"/>
    </row>
    <row r="20" spans="2:11" ht="36.75" thickBot="1">
      <c r="B20" s="1033"/>
      <c r="C20" s="890"/>
      <c r="D20" s="845" t="s">
        <v>2623</v>
      </c>
      <c r="E20" s="108">
        <v>2</v>
      </c>
      <c r="F20" s="108"/>
      <c r="G20" s="108"/>
      <c r="H20" s="108"/>
      <c r="I20" s="757">
        <f>SUM(E20:H20)</f>
        <v>2</v>
      </c>
      <c r="J20" s="4"/>
      <c r="K20" s="4"/>
    </row>
    <row r="21" spans="2:11" ht="24.75" thickBot="1">
      <c r="B21" s="1034"/>
      <c r="C21" s="857"/>
      <c r="D21" s="845" t="s">
        <v>2624</v>
      </c>
      <c r="E21" s="252">
        <f>+(E19+E20)/E18</f>
        <v>3.8235294117647061</v>
      </c>
      <c r="F21" s="252" t="e">
        <f>+(F19+F20)/F18</f>
        <v>#DIV/0!</v>
      </c>
      <c r="G21" s="252" t="e">
        <f>+(G19+G20)/G18</f>
        <v>#DIV/0!</v>
      </c>
      <c r="H21" s="252" t="e">
        <f>+(H19+H20)/H18</f>
        <v>#DIV/0!</v>
      </c>
      <c r="I21" s="252">
        <f>+(I19+I20)/I18</f>
        <v>3.8235294117647061</v>
      </c>
      <c r="J21" s="4"/>
      <c r="K21" s="4"/>
    </row>
    <row r="22" spans="2:11" ht="36" customHeight="1" thickBot="1">
      <c r="B22" s="839" t="s">
        <v>1504</v>
      </c>
      <c r="C22" s="69"/>
      <c r="D22" s="1041" t="s">
        <v>2625</v>
      </c>
      <c r="E22" s="1042"/>
      <c r="F22" s="1042"/>
      <c r="G22" s="1042"/>
      <c r="H22" s="1042"/>
      <c r="I22" s="1043"/>
      <c r="J22" s="4"/>
      <c r="K22" s="4"/>
    </row>
    <row r="23" spans="2:11" ht="36" customHeight="1" thickBot="1">
      <c r="B23" s="839" t="s">
        <v>1506</v>
      </c>
      <c r="C23" s="69"/>
      <c r="D23" s="1041" t="s">
        <v>1613</v>
      </c>
      <c r="E23" s="1042"/>
      <c r="F23" s="1042"/>
      <c r="G23" s="1042"/>
      <c r="H23" s="1042"/>
      <c r="I23" s="1043"/>
      <c r="J23" s="4"/>
      <c r="K23" s="4"/>
    </row>
    <row r="24" spans="2:11" ht="15.75" thickBot="1">
      <c r="B24" s="1"/>
      <c r="C24" s="55"/>
      <c r="D24" s="4"/>
      <c r="E24" s="4"/>
      <c r="F24" s="4"/>
      <c r="G24" s="4"/>
      <c r="H24" s="4"/>
      <c r="I24" s="4"/>
      <c r="J24" s="4"/>
      <c r="K24" s="4"/>
    </row>
    <row r="25" spans="2:11" ht="24" customHeight="1" thickBot="1">
      <c r="B25" s="1029" t="s">
        <v>1508</v>
      </c>
      <c r="C25" s="1030"/>
      <c r="D25" s="1030"/>
      <c r="E25" s="1031"/>
      <c r="F25" s="4"/>
      <c r="G25" s="4"/>
      <c r="H25" s="4"/>
      <c r="I25" s="4"/>
      <c r="J25" s="4"/>
      <c r="K25" s="4"/>
    </row>
    <row r="26" spans="2:11" ht="15.75" thickBot="1">
      <c r="B26" s="1032">
        <v>1</v>
      </c>
      <c r="C26" s="890"/>
      <c r="D26" s="37" t="s">
        <v>1509</v>
      </c>
      <c r="E26" s="121" t="s">
        <v>1510</v>
      </c>
      <c r="F26" s="4"/>
      <c r="G26" s="4"/>
      <c r="H26" s="4"/>
      <c r="I26" s="4"/>
      <c r="J26" s="4"/>
      <c r="K26" s="4"/>
    </row>
    <row r="27" spans="2:11" ht="36.75" thickBot="1">
      <c r="B27" s="1033"/>
      <c r="C27" s="890"/>
      <c r="D27" s="845" t="s">
        <v>10</v>
      </c>
      <c r="E27" s="275" t="s">
        <v>2626</v>
      </c>
      <c r="F27" s="4"/>
      <c r="G27" s="4"/>
      <c r="H27" s="4"/>
      <c r="I27" s="4"/>
      <c r="J27" s="4"/>
      <c r="K27" s="4"/>
    </row>
    <row r="28" spans="2:11" ht="24.75" thickBot="1">
      <c r="B28" s="1033"/>
      <c r="C28" s="890"/>
      <c r="D28" s="845" t="s">
        <v>1512</v>
      </c>
      <c r="E28" s="275" t="s">
        <v>1691</v>
      </c>
      <c r="F28" s="4"/>
      <c r="G28" s="4"/>
      <c r="H28" s="4"/>
      <c r="I28" s="4"/>
      <c r="J28" s="4"/>
      <c r="K28" s="4"/>
    </row>
    <row r="29" spans="2:11" ht="15.75" thickBot="1">
      <c r="B29" s="1033"/>
      <c r="C29" s="890"/>
      <c r="D29" s="845" t="s">
        <v>13</v>
      </c>
      <c r="E29" s="121" t="s">
        <v>1514</v>
      </c>
      <c r="F29" s="4"/>
      <c r="G29" s="4"/>
      <c r="H29" s="4"/>
      <c r="I29" s="4"/>
      <c r="J29" s="4"/>
      <c r="K29" s="4"/>
    </row>
    <row r="30" spans="2:11" ht="45.75" thickBot="1">
      <c r="B30" s="1033"/>
      <c r="C30" s="890"/>
      <c r="D30" s="845" t="s">
        <v>16</v>
      </c>
      <c r="E30" s="709" t="s">
        <v>1646</v>
      </c>
      <c r="F30" s="4"/>
      <c r="G30" s="4"/>
      <c r="H30" s="4"/>
      <c r="I30" s="4"/>
      <c r="J30" s="4"/>
      <c r="K30" s="4"/>
    </row>
    <row r="31" spans="2:11" ht="24.75" thickBot="1">
      <c r="B31" s="1033"/>
      <c r="C31" s="890"/>
      <c r="D31" s="845" t="s">
        <v>19</v>
      </c>
      <c r="E31" s="275" t="s">
        <v>1647</v>
      </c>
      <c r="F31" s="4"/>
      <c r="G31" s="4"/>
      <c r="H31" s="4"/>
      <c r="I31" s="4"/>
      <c r="J31" s="4"/>
      <c r="K31" s="4"/>
    </row>
    <row r="32" spans="2:11" ht="24.75" thickBot="1">
      <c r="B32" s="1034"/>
      <c r="C32" s="857"/>
      <c r="D32" s="845" t="s">
        <v>1516</v>
      </c>
      <c r="E32" s="275" t="s">
        <v>1517</v>
      </c>
      <c r="F32" s="4"/>
      <c r="G32" s="4"/>
      <c r="H32" s="4"/>
      <c r="I32" s="4"/>
      <c r="J32" s="4"/>
      <c r="K32" s="4"/>
    </row>
    <row r="33" spans="2:11" ht="15.75" thickBot="1">
      <c r="B33" s="1"/>
      <c r="C33" s="55"/>
      <c r="D33" s="4"/>
      <c r="E33" s="4"/>
      <c r="F33" s="4"/>
      <c r="G33" s="4"/>
      <c r="H33" s="4"/>
      <c r="I33" s="4"/>
      <c r="J33" s="4"/>
      <c r="K33" s="4"/>
    </row>
    <row r="34" spans="2:11" ht="15.75" thickBot="1">
      <c r="B34" s="1029" t="s">
        <v>1518</v>
      </c>
      <c r="C34" s="1030"/>
      <c r="D34" s="1030"/>
      <c r="E34" s="1031"/>
      <c r="F34" s="4"/>
      <c r="G34" s="4"/>
      <c r="H34" s="4"/>
      <c r="I34" s="4"/>
      <c r="J34" s="4"/>
      <c r="K34" s="4"/>
    </row>
    <row r="35" spans="2:11" ht="15.75" thickBot="1">
      <c r="B35" s="1032">
        <v>1</v>
      </c>
      <c r="C35" s="890"/>
      <c r="D35" s="37" t="s">
        <v>1509</v>
      </c>
      <c r="E35" s="299" t="s">
        <v>1519</v>
      </c>
      <c r="F35" s="4"/>
      <c r="G35" s="4"/>
      <c r="H35" s="4"/>
      <c r="I35" s="4"/>
      <c r="J35" s="4"/>
      <c r="K35" s="4"/>
    </row>
    <row r="36" spans="2:11" ht="15.75" thickBot="1">
      <c r="B36" s="1033"/>
      <c r="C36" s="890"/>
      <c r="D36" s="845" t="s">
        <v>10</v>
      </c>
      <c r="E36" s="251" t="s">
        <v>1520</v>
      </c>
      <c r="F36" s="4"/>
      <c r="G36" s="4"/>
      <c r="H36" s="4"/>
      <c r="I36" s="4"/>
      <c r="J36" s="4"/>
      <c r="K36" s="4"/>
    </row>
    <row r="37" spans="2:11" ht="15.75" thickBot="1">
      <c r="B37" s="1033"/>
      <c r="C37" s="890"/>
      <c r="D37" s="845" t="s">
        <v>1512</v>
      </c>
      <c r="E37" s="126"/>
      <c r="F37" s="4"/>
      <c r="G37" s="4"/>
      <c r="H37" s="4"/>
      <c r="I37" s="4"/>
      <c r="J37" s="4"/>
      <c r="K37" s="4"/>
    </row>
    <row r="38" spans="2:11" ht="15.75" thickBot="1">
      <c r="B38" s="1033"/>
      <c r="C38" s="890"/>
      <c r="D38" s="845" t="s">
        <v>13</v>
      </c>
      <c r="E38" s="126"/>
      <c r="F38" s="4"/>
      <c r="G38" s="4"/>
      <c r="H38" s="4"/>
      <c r="I38" s="4"/>
      <c r="J38" s="4"/>
      <c r="K38" s="4"/>
    </row>
    <row r="39" spans="2:11" ht="15.75" thickBot="1">
      <c r="B39" s="1033"/>
      <c r="C39" s="890"/>
      <c r="D39" s="845" t="s">
        <v>16</v>
      </c>
      <c r="E39" s="126"/>
      <c r="F39" s="4"/>
      <c r="G39" s="4"/>
      <c r="H39" s="4"/>
      <c r="I39" s="4"/>
      <c r="J39" s="4"/>
      <c r="K39" s="4"/>
    </row>
    <row r="40" spans="2:11" ht="15.75" thickBot="1">
      <c r="B40" s="1033"/>
      <c r="C40" s="890"/>
      <c r="D40" s="845" t="s">
        <v>19</v>
      </c>
      <c r="E40" s="126"/>
      <c r="F40" s="4"/>
      <c r="G40" s="4"/>
      <c r="H40" s="4"/>
      <c r="I40" s="4"/>
      <c r="J40" s="4"/>
      <c r="K40" s="4"/>
    </row>
    <row r="41" spans="2:11" ht="15.75" thickBot="1">
      <c r="B41" s="1034"/>
      <c r="C41" s="857"/>
      <c r="D41" s="845" t="s">
        <v>1516</v>
      </c>
      <c r="E41" s="126"/>
      <c r="F41" s="4"/>
      <c r="G41" s="4"/>
      <c r="H41" s="4"/>
      <c r="I41" s="4"/>
      <c r="J41" s="4"/>
      <c r="K41" s="4"/>
    </row>
    <row r="42" spans="2:11" ht="15.75" thickBot="1">
      <c r="B42" s="1"/>
      <c r="C42" s="55"/>
      <c r="D42" s="4"/>
      <c r="E42" s="4"/>
      <c r="F42" s="4"/>
      <c r="G42" s="4"/>
      <c r="H42" s="4"/>
      <c r="I42" s="4"/>
      <c r="J42" s="4"/>
      <c r="K42" s="4"/>
    </row>
    <row r="43" spans="2:11" ht="15" customHeight="1" thickBot="1">
      <c r="B43" s="846" t="s">
        <v>1521</v>
      </c>
      <c r="C43" s="847"/>
      <c r="D43" s="847"/>
      <c r="E43" s="848"/>
      <c r="G43" s="4"/>
      <c r="H43" s="4"/>
      <c r="I43" s="4"/>
      <c r="J43" s="4"/>
      <c r="K43" s="4"/>
    </row>
    <row r="44" spans="2:11" ht="24.75" thickBot="1">
      <c r="B44" s="839" t="s">
        <v>1522</v>
      </c>
      <c r="C44" s="845" t="s">
        <v>1523</v>
      </c>
      <c r="D44" s="845" t="s">
        <v>1524</v>
      </c>
      <c r="E44" s="845" t="s">
        <v>1525</v>
      </c>
      <c r="F44" s="4"/>
      <c r="G44" s="4"/>
      <c r="H44" s="4"/>
      <c r="I44" s="4"/>
      <c r="J44" s="4"/>
    </row>
    <row r="45" spans="2:11" ht="60.75" thickBot="1">
      <c r="B45" s="38">
        <v>42401</v>
      </c>
      <c r="C45" s="845">
        <v>0.01</v>
      </c>
      <c r="D45" s="837" t="s">
        <v>2627</v>
      </c>
      <c r="E45" s="845"/>
      <c r="F45" s="4"/>
      <c r="G45" s="4"/>
      <c r="H45" s="4"/>
      <c r="I45" s="4"/>
      <c r="J45" s="4"/>
    </row>
    <row r="46" spans="2:11" ht="15.75" thickBot="1">
      <c r="B46" s="1"/>
      <c r="C46" s="55"/>
      <c r="D46" s="4"/>
      <c r="E46" s="4"/>
      <c r="F46" s="4"/>
      <c r="G46" s="4"/>
      <c r="H46" s="4"/>
      <c r="I46" s="4"/>
      <c r="J46" s="4"/>
      <c r="K46" s="4"/>
    </row>
    <row r="47" spans="2:11">
      <c r="B47" s="879" t="s">
        <v>1406</v>
      </c>
      <c r="C47" s="705"/>
      <c r="D47" s="4"/>
      <c r="E47" s="4"/>
      <c r="F47" s="4"/>
      <c r="G47" s="4"/>
      <c r="H47" s="4"/>
      <c r="I47" s="4"/>
      <c r="J47" s="4"/>
      <c r="K47" s="4"/>
    </row>
    <row r="48" spans="2:11">
      <c r="B48" s="1227"/>
      <c r="C48" s="1228"/>
      <c r="D48" s="1228"/>
      <c r="E48" s="1229"/>
      <c r="F48" s="4"/>
      <c r="G48" s="4"/>
      <c r="H48" s="4"/>
      <c r="I48" s="4"/>
      <c r="J48" s="4"/>
      <c r="K48" s="4"/>
    </row>
    <row r="49" spans="2:11">
      <c r="B49" s="1230"/>
      <c r="C49" s="1231"/>
      <c r="D49" s="1231"/>
      <c r="E49" s="1232"/>
      <c r="F49" s="4"/>
      <c r="G49" s="4"/>
      <c r="H49" s="4"/>
      <c r="I49" s="4"/>
      <c r="J49" s="4"/>
      <c r="K49" s="4"/>
    </row>
    <row r="50" spans="2:11" ht="15.75" thickBot="1">
      <c r="B50" s="4"/>
      <c r="D50" s="4"/>
      <c r="E50" s="4"/>
      <c r="F50" s="4"/>
      <c r="G50" s="4"/>
      <c r="H50" s="4"/>
      <c r="I50" s="4"/>
      <c r="J50" s="4"/>
      <c r="K50" s="4"/>
    </row>
    <row r="51" spans="2:11" ht="24.75" thickBot="1">
      <c r="B51" s="39" t="s">
        <v>1527</v>
      </c>
      <c r="C51" s="708"/>
      <c r="D51" s="4"/>
      <c r="E51" s="4"/>
      <c r="F51" s="4"/>
      <c r="G51" s="4"/>
      <c r="H51" s="4"/>
      <c r="I51" s="4"/>
      <c r="J51" s="4"/>
      <c r="K51" s="4"/>
    </row>
    <row r="52" spans="2:11" ht="15.75" thickBot="1">
      <c r="B52" s="1"/>
      <c r="C52" s="55"/>
      <c r="D52" s="4"/>
      <c r="E52" s="4"/>
      <c r="F52" s="4"/>
      <c r="G52" s="4"/>
      <c r="H52" s="4"/>
      <c r="I52" s="4"/>
      <c r="J52" s="4"/>
      <c r="K52" s="4"/>
    </row>
    <row r="53" spans="2:11" ht="84.75" thickBot="1">
      <c r="B53" s="40" t="s">
        <v>1528</v>
      </c>
      <c r="C53" s="878"/>
      <c r="D53" s="842" t="s">
        <v>2628</v>
      </c>
      <c r="E53" s="4"/>
      <c r="F53" s="4"/>
      <c r="G53" s="4"/>
      <c r="H53" s="4"/>
      <c r="I53" s="4"/>
      <c r="J53" s="4"/>
      <c r="K53" s="4"/>
    </row>
    <row r="54" spans="2:11">
      <c r="B54" s="1032" t="s">
        <v>1530</v>
      </c>
      <c r="C54" s="890"/>
      <c r="D54" s="836" t="s">
        <v>1531</v>
      </c>
      <c r="E54" s="4"/>
      <c r="F54" s="4"/>
      <c r="G54" s="4"/>
      <c r="H54" s="4"/>
      <c r="I54" s="4"/>
      <c r="J54" s="4"/>
      <c r="K54" s="4"/>
    </row>
    <row r="55" spans="2:11" ht="72">
      <c r="B55" s="1033"/>
      <c r="C55" s="890"/>
      <c r="D55" s="836" t="s">
        <v>2629</v>
      </c>
      <c r="E55" s="4"/>
      <c r="F55" s="4"/>
      <c r="G55" s="4"/>
      <c r="H55" s="4"/>
      <c r="I55" s="4"/>
      <c r="J55" s="4"/>
      <c r="K55" s="4"/>
    </row>
    <row r="56" spans="2:11">
      <c r="B56" s="1033"/>
      <c r="C56" s="890"/>
      <c r="D56" s="836" t="s">
        <v>1620</v>
      </c>
      <c r="E56" s="4"/>
      <c r="F56" s="4"/>
      <c r="G56" s="4"/>
      <c r="H56" s="4"/>
      <c r="I56" s="4"/>
      <c r="J56" s="4"/>
      <c r="K56" s="4"/>
    </row>
    <row r="57" spans="2:11" ht="24">
      <c r="B57" s="1033"/>
      <c r="C57" s="890"/>
      <c r="D57" s="829" t="s">
        <v>2630</v>
      </c>
      <c r="E57" s="4"/>
      <c r="F57" s="4"/>
      <c r="G57" s="4"/>
      <c r="H57" s="4"/>
      <c r="I57" s="4"/>
      <c r="J57" s="4"/>
      <c r="K57" s="4"/>
    </row>
    <row r="58" spans="2:11" ht="24">
      <c r="B58" s="1033"/>
      <c r="C58" s="890"/>
      <c r="D58" s="829" t="s">
        <v>2631</v>
      </c>
      <c r="E58" s="4"/>
      <c r="F58" s="4"/>
      <c r="G58" s="4"/>
      <c r="H58" s="4"/>
      <c r="I58" s="4"/>
      <c r="J58" s="4"/>
      <c r="K58" s="4"/>
    </row>
    <row r="59" spans="2:11" ht="15.75" thickBot="1">
      <c r="B59" s="1034"/>
      <c r="C59" s="857"/>
      <c r="D59" s="845" t="s">
        <v>1536</v>
      </c>
      <c r="E59" s="4"/>
      <c r="F59" s="4"/>
      <c r="G59" s="4"/>
      <c r="H59" s="4"/>
      <c r="I59" s="4"/>
      <c r="J59" s="4"/>
      <c r="K59" s="4"/>
    </row>
    <row r="60" spans="2:11" ht="24.75" thickBot="1">
      <c r="B60" s="839" t="s">
        <v>1543</v>
      </c>
      <c r="C60" s="857"/>
      <c r="D60" s="845"/>
      <c r="E60" s="4"/>
      <c r="F60" s="4"/>
      <c r="G60" s="4"/>
      <c r="H60" s="4"/>
      <c r="I60" s="4"/>
      <c r="J60" s="4"/>
      <c r="K60" s="4"/>
    </row>
    <row r="61" spans="2:11" ht="132">
      <c r="B61" s="1032" t="s">
        <v>1544</v>
      </c>
      <c r="C61" s="890"/>
      <c r="D61" s="829" t="s">
        <v>2632</v>
      </c>
      <c r="E61" s="4"/>
      <c r="F61" s="4"/>
      <c r="G61" s="4"/>
      <c r="H61" s="4"/>
      <c r="I61" s="4"/>
      <c r="J61" s="4"/>
      <c r="K61" s="4"/>
    </row>
    <row r="62" spans="2:11" ht="324">
      <c r="B62" s="1033"/>
      <c r="C62" s="890"/>
      <c r="D62" s="829" t="s">
        <v>2633</v>
      </c>
      <c r="E62" s="4"/>
      <c r="F62" s="4"/>
      <c r="G62" s="4"/>
      <c r="H62" s="4"/>
      <c r="I62" s="4"/>
      <c r="J62" s="4"/>
      <c r="K62" s="4"/>
    </row>
    <row r="63" spans="2:11" ht="84">
      <c r="B63" s="1033"/>
      <c r="C63" s="890"/>
      <c r="D63" s="829" t="s">
        <v>2634</v>
      </c>
      <c r="E63" s="4"/>
      <c r="F63" s="4"/>
      <c r="G63" s="4"/>
      <c r="H63" s="4"/>
      <c r="I63" s="4"/>
      <c r="J63" s="4"/>
      <c r="K63" s="4"/>
    </row>
    <row r="64" spans="2:11" ht="72">
      <c r="B64" s="1033"/>
      <c r="C64" s="890"/>
      <c r="D64" s="829" t="s">
        <v>2635</v>
      </c>
      <c r="E64" s="4"/>
      <c r="F64" s="4"/>
      <c r="G64" s="4"/>
      <c r="H64" s="4"/>
      <c r="I64" s="4"/>
      <c r="J64" s="4"/>
      <c r="K64" s="4"/>
    </row>
    <row r="65" spans="2:11" ht="60.75" thickBot="1">
      <c r="B65" s="1034"/>
      <c r="C65" s="857"/>
      <c r="D65" s="845" t="s">
        <v>2636</v>
      </c>
      <c r="E65" s="4"/>
      <c r="F65" s="4"/>
      <c r="G65" s="4"/>
      <c r="H65" s="4"/>
      <c r="I65" s="4"/>
      <c r="J65" s="4"/>
      <c r="K65" s="4"/>
    </row>
    <row r="66" spans="2:11">
      <c r="B66" s="1032" t="s">
        <v>1561</v>
      </c>
      <c r="C66" s="890"/>
      <c r="D66" s="829"/>
      <c r="E66" s="4"/>
      <c r="F66" s="4"/>
      <c r="G66" s="4"/>
      <c r="H66" s="4"/>
      <c r="I66" s="4"/>
      <c r="J66" s="4"/>
      <c r="K66" s="4"/>
    </row>
    <row r="67" spans="2:11">
      <c r="B67" s="1033"/>
      <c r="C67" s="890"/>
      <c r="D67" s="826"/>
      <c r="E67" s="4"/>
      <c r="F67" s="4"/>
      <c r="G67" s="4"/>
      <c r="H67" s="4"/>
      <c r="I67" s="4"/>
      <c r="J67" s="4"/>
      <c r="K67" s="4"/>
    </row>
    <row r="68" spans="2:11">
      <c r="B68" s="1033"/>
      <c r="C68" s="890"/>
      <c r="D68" s="829" t="s">
        <v>1562</v>
      </c>
      <c r="E68" s="4"/>
      <c r="F68" s="4"/>
      <c r="G68" s="4"/>
      <c r="H68" s="4"/>
      <c r="I68" s="4"/>
      <c r="J68" s="4"/>
      <c r="K68" s="4"/>
    </row>
    <row r="69" spans="2:11" ht="25.5">
      <c r="B69" s="1033"/>
      <c r="C69" s="890"/>
      <c r="D69" s="829" t="s">
        <v>2637</v>
      </c>
      <c r="E69" s="4"/>
      <c r="F69" s="4"/>
      <c r="G69" s="4"/>
      <c r="H69" s="4"/>
      <c r="I69" s="4"/>
      <c r="J69" s="4"/>
      <c r="K69" s="4"/>
    </row>
    <row r="70" spans="2:11" ht="37.5">
      <c r="B70" s="1033"/>
      <c r="C70" s="890"/>
      <c r="D70" s="829" t="s">
        <v>2638</v>
      </c>
      <c r="E70" s="4"/>
      <c r="F70" s="4"/>
      <c r="G70" s="4"/>
      <c r="H70" s="4"/>
      <c r="I70" s="4"/>
      <c r="J70" s="4"/>
      <c r="K70" s="4"/>
    </row>
    <row r="71" spans="2:11" ht="37.5">
      <c r="B71" s="1033"/>
      <c r="C71" s="890"/>
      <c r="D71" s="829" t="s">
        <v>2639</v>
      </c>
      <c r="E71" s="4"/>
      <c r="F71" s="4"/>
      <c r="G71" s="4"/>
      <c r="H71" s="4"/>
      <c r="I71" s="4"/>
      <c r="J71" s="4"/>
      <c r="K71" s="4"/>
    </row>
    <row r="72" spans="2:11" ht="36">
      <c r="B72" s="1033"/>
      <c r="C72" s="890"/>
      <c r="D72" s="829" t="s">
        <v>2640</v>
      </c>
      <c r="E72" s="4"/>
      <c r="F72" s="4"/>
      <c r="G72" s="4"/>
      <c r="H72" s="4"/>
      <c r="I72" s="4"/>
      <c r="J72" s="4"/>
      <c r="K72" s="4"/>
    </row>
    <row r="73" spans="2:11" ht="120.75" thickBot="1">
      <c r="B73" s="1034"/>
      <c r="C73" s="857"/>
      <c r="D73" s="845" t="s">
        <v>2641</v>
      </c>
      <c r="E73" s="4"/>
      <c r="F73" s="4"/>
      <c r="G73" s="4"/>
      <c r="H73" s="4"/>
      <c r="I73" s="4"/>
      <c r="J73" s="4"/>
      <c r="K73" s="4"/>
    </row>
    <row r="74" spans="2:11">
      <c r="B74" s="4"/>
      <c r="D74" s="4"/>
      <c r="E74" s="4"/>
      <c r="F74" s="4"/>
      <c r="G74" s="4"/>
      <c r="H74" s="4"/>
      <c r="I74" s="4"/>
      <c r="J74" s="4"/>
      <c r="K74" s="4"/>
    </row>
    <row r="75" spans="2:11">
      <c r="B75" s="4"/>
      <c r="D75" s="4"/>
      <c r="E75" s="4"/>
      <c r="F75" s="4"/>
      <c r="G75" s="4"/>
      <c r="H75" s="4"/>
      <c r="I75" s="4"/>
      <c r="J75" s="4"/>
      <c r="K75" s="4"/>
    </row>
    <row r="76" spans="2:11">
      <c r="B76" s="4"/>
      <c r="D76" s="4"/>
      <c r="E76" s="4"/>
      <c r="F76" s="4"/>
      <c r="G76" s="4"/>
      <c r="H76" s="4"/>
      <c r="I76" s="4"/>
      <c r="J76" s="4"/>
      <c r="K76" s="4"/>
    </row>
    <row r="77" spans="2:11">
      <c r="B77" s="4"/>
      <c r="D77" s="4"/>
      <c r="E77" s="4"/>
      <c r="F77" s="4"/>
      <c r="G77" s="4"/>
      <c r="H77" s="4"/>
      <c r="I77" s="4"/>
      <c r="J77" s="4"/>
      <c r="K77" s="4"/>
    </row>
    <row r="78" spans="2:11">
      <c r="B78" s="4"/>
      <c r="D78" s="4"/>
      <c r="E78" s="4"/>
      <c r="F78" s="4"/>
      <c r="G78" s="4"/>
      <c r="H78" s="4"/>
      <c r="I78" s="4"/>
      <c r="J78" s="4"/>
      <c r="K78" s="4"/>
    </row>
    <row r="79" spans="2:11">
      <c r="B79" s="4"/>
      <c r="D79" s="4"/>
      <c r="E79" s="4"/>
      <c r="F79" s="4"/>
      <c r="G79" s="4"/>
      <c r="H79" s="4"/>
      <c r="I79" s="4"/>
      <c r="J79" s="4"/>
      <c r="K79" s="4"/>
    </row>
    <row r="80" spans="2:11">
      <c r="B80" s="4"/>
      <c r="D80" s="4"/>
      <c r="E80" s="4"/>
      <c r="F80" s="4"/>
      <c r="G80" s="4"/>
      <c r="H80" s="4"/>
      <c r="I80" s="4"/>
      <c r="J80" s="4"/>
      <c r="K80" s="4"/>
    </row>
    <row r="81" spans="2:11">
      <c r="B81" s="4"/>
      <c r="D81" s="4"/>
      <c r="E81" s="4"/>
      <c r="F81" s="4"/>
      <c r="G81" s="4"/>
      <c r="H81" s="4"/>
      <c r="I81" s="4"/>
      <c r="J81" s="4"/>
      <c r="K81" s="4"/>
    </row>
    <row r="82" spans="2:11">
      <c r="B82" s="4"/>
      <c r="D82" s="4"/>
      <c r="E82" s="4"/>
      <c r="F82" s="4"/>
      <c r="G82" s="4"/>
      <c r="H82" s="4"/>
      <c r="I82" s="4"/>
      <c r="J82" s="4"/>
      <c r="K82" s="4"/>
    </row>
    <row r="83" spans="2:11">
      <c r="B83" s="4"/>
      <c r="D83" s="4"/>
      <c r="E83" s="4"/>
      <c r="F83" s="4"/>
      <c r="G83" s="4"/>
      <c r="H83" s="4"/>
      <c r="I83" s="4"/>
      <c r="J83" s="4"/>
      <c r="K83" s="4"/>
    </row>
    <row r="84" spans="2:11">
      <c r="B84" s="4"/>
      <c r="D84" s="4"/>
      <c r="E84" s="4"/>
      <c r="F84" s="4"/>
      <c r="G84" s="4"/>
      <c r="H84" s="4"/>
      <c r="I84" s="4"/>
      <c r="J84" s="4"/>
      <c r="K84" s="4"/>
    </row>
    <row r="85" spans="2:11">
      <c r="B85" s="4"/>
      <c r="D85" s="4"/>
      <c r="E85" s="4"/>
      <c r="F85" s="4"/>
      <c r="G85" s="4"/>
      <c r="H85" s="4"/>
      <c r="I85" s="4"/>
      <c r="J85" s="4"/>
      <c r="K85" s="4"/>
    </row>
    <row r="86" spans="2:11">
      <c r="B86" s="4"/>
      <c r="D86" s="4"/>
      <c r="E86" s="4"/>
      <c r="F86" s="4"/>
      <c r="G86" s="4"/>
      <c r="H86" s="4"/>
      <c r="I86" s="4"/>
      <c r="J86" s="4"/>
      <c r="K86" s="4"/>
    </row>
    <row r="87" spans="2:11">
      <c r="B87" s="4"/>
      <c r="D87" s="4"/>
      <c r="E87" s="4"/>
      <c r="F87" s="4"/>
      <c r="G87" s="4"/>
      <c r="H87" s="4"/>
      <c r="I87" s="4"/>
      <c r="J87" s="4"/>
      <c r="K87" s="4"/>
    </row>
    <row r="88" spans="2:11">
      <c r="B88" s="4"/>
      <c r="D88" s="4"/>
      <c r="E88" s="4"/>
      <c r="F88" s="4"/>
      <c r="G88" s="4"/>
      <c r="H88" s="4"/>
      <c r="I88" s="4"/>
      <c r="J88" s="4"/>
      <c r="K88" s="4"/>
    </row>
    <row r="89" spans="2:11">
      <c r="B89" s="4"/>
      <c r="D89" s="4"/>
      <c r="E89" s="4"/>
      <c r="F89" s="4"/>
      <c r="G89" s="4"/>
      <c r="H89" s="4"/>
      <c r="I89" s="4"/>
      <c r="J89" s="4"/>
      <c r="K89" s="4"/>
    </row>
    <row r="90" spans="2:11">
      <c r="B90" s="4"/>
      <c r="D90" s="4"/>
      <c r="E90" s="4"/>
      <c r="F90" s="4"/>
      <c r="G90" s="4"/>
      <c r="H90" s="4"/>
      <c r="I90" s="4"/>
      <c r="J90" s="4"/>
      <c r="K90" s="4"/>
    </row>
    <row r="91" spans="2:11">
      <c r="B91" s="4"/>
      <c r="D91" s="4"/>
      <c r="E91" s="4"/>
      <c r="F91" s="4"/>
      <c r="G91" s="4"/>
      <c r="H91" s="4"/>
      <c r="I91" s="4"/>
      <c r="J91" s="4"/>
      <c r="K91" s="4"/>
    </row>
    <row r="92" spans="2:11">
      <c r="B92" s="4"/>
      <c r="D92" s="4"/>
      <c r="E92" s="4"/>
      <c r="F92" s="4"/>
      <c r="G92" s="4"/>
      <c r="H92" s="4"/>
      <c r="I92" s="4"/>
      <c r="J92" s="4"/>
      <c r="K92" s="4"/>
    </row>
    <row r="93" spans="2:11">
      <c r="B93" s="4"/>
      <c r="D93" s="4"/>
      <c r="E93" s="4"/>
      <c r="F93" s="4"/>
      <c r="G93" s="4"/>
      <c r="H93" s="4"/>
      <c r="I93" s="4"/>
      <c r="J93" s="4"/>
      <c r="K93" s="4"/>
    </row>
    <row r="94" spans="2:11">
      <c r="B94" s="4"/>
      <c r="D94" s="4"/>
      <c r="E94" s="4"/>
      <c r="F94" s="4"/>
      <c r="G94" s="4"/>
      <c r="H94" s="4"/>
      <c r="I94" s="4"/>
      <c r="J94" s="4"/>
      <c r="K94" s="4"/>
    </row>
    <row r="95" spans="2:11">
      <c r="B95" s="4"/>
      <c r="D95" s="4"/>
      <c r="E95" s="4"/>
      <c r="F95" s="4"/>
      <c r="G95" s="4"/>
      <c r="H95" s="4"/>
      <c r="I95" s="4"/>
      <c r="J95" s="4"/>
      <c r="K95" s="4"/>
    </row>
    <row r="96" spans="2:11">
      <c r="B96" s="4"/>
      <c r="D96" s="4"/>
      <c r="E96" s="4"/>
      <c r="F96" s="4"/>
      <c r="G96" s="4"/>
      <c r="H96" s="4"/>
      <c r="I96" s="4"/>
      <c r="J96" s="4"/>
      <c r="K96" s="4"/>
    </row>
    <row r="97" spans="2:11">
      <c r="B97" s="4"/>
      <c r="D97" s="4"/>
      <c r="E97" s="4"/>
      <c r="F97" s="4"/>
      <c r="G97" s="4"/>
      <c r="H97" s="4"/>
      <c r="I97" s="4"/>
      <c r="J97" s="4"/>
      <c r="K97" s="4"/>
    </row>
    <row r="98" spans="2:11">
      <c r="B98" s="4"/>
      <c r="D98" s="4"/>
      <c r="E98" s="4"/>
      <c r="F98" s="4"/>
      <c r="G98" s="4"/>
      <c r="H98" s="4"/>
      <c r="I98" s="4"/>
      <c r="J98" s="4"/>
      <c r="K98" s="4"/>
    </row>
    <row r="99" spans="2:11">
      <c r="B99" s="4"/>
      <c r="D99" s="4"/>
      <c r="E99" s="4"/>
      <c r="F99" s="4"/>
      <c r="G99" s="4"/>
      <c r="H99" s="4"/>
      <c r="I99" s="4"/>
      <c r="J99" s="4"/>
      <c r="K99" s="4"/>
    </row>
    <row r="100" spans="2:11">
      <c r="B100" s="4"/>
      <c r="D100" s="4"/>
      <c r="E100" s="4"/>
      <c r="F100" s="4"/>
      <c r="G100" s="4"/>
      <c r="H100" s="4"/>
      <c r="I100" s="4"/>
      <c r="J100" s="4"/>
      <c r="K100" s="4"/>
    </row>
    <row r="101" spans="2:11">
      <c r="B101" s="4"/>
      <c r="D101" s="4"/>
      <c r="E101" s="4"/>
      <c r="F101" s="4"/>
      <c r="G101" s="4"/>
      <c r="H101" s="4"/>
      <c r="I101" s="4"/>
      <c r="J101" s="4"/>
      <c r="K101" s="4"/>
    </row>
    <row r="102" spans="2:11">
      <c r="B102" s="4"/>
      <c r="D102" s="4"/>
      <c r="E102" s="4"/>
      <c r="F102" s="4"/>
      <c r="G102" s="4"/>
      <c r="H102" s="4"/>
      <c r="I102" s="4"/>
      <c r="J102" s="4"/>
      <c r="K102" s="4"/>
    </row>
    <row r="103" spans="2:11">
      <c r="B103" s="4"/>
      <c r="D103" s="4"/>
      <c r="E103" s="4"/>
      <c r="F103" s="4"/>
      <c r="G103" s="4"/>
      <c r="H103" s="4"/>
      <c r="I103" s="4"/>
      <c r="J103" s="4"/>
      <c r="K103" s="4"/>
    </row>
    <row r="104" spans="2:11">
      <c r="B104" s="4"/>
      <c r="D104" s="4"/>
      <c r="E104" s="4"/>
      <c r="F104" s="4"/>
      <c r="G104" s="4"/>
      <c r="H104" s="4"/>
      <c r="I104" s="4"/>
      <c r="J104" s="4"/>
      <c r="K104" s="4"/>
    </row>
    <row r="105" spans="2:11">
      <c r="B105" s="4"/>
      <c r="D105" s="4"/>
      <c r="E105" s="4"/>
      <c r="F105" s="4"/>
      <c r="G105" s="4"/>
      <c r="H105" s="4"/>
      <c r="I105" s="4"/>
      <c r="J105" s="4"/>
      <c r="K105" s="4"/>
    </row>
    <row r="106" spans="2:11">
      <c r="B106" s="4"/>
      <c r="D106" s="4"/>
      <c r="E106" s="4"/>
      <c r="F106" s="4"/>
      <c r="G106" s="4"/>
      <c r="H106" s="4"/>
      <c r="I106" s="4"/>
      <c r="J106" s="4"/>
      <c r="K106" s="4"/>
    </row>
    <row r="107" spans="2:11">
      <c r="B107" s="4"/>
      <c r="D107" s="4"/>
      <c r="E107" s="4"/>
      <c r="F107" s="4"/>
      <c r="G107" s="4"/>
      <c r="H107" s="4"/>
      <c r="I107" s="4"/>
      <c r="J107" s="4"/>
      <c r="K107" s="4"/>
    </row>
    <row r="108" spans="2:11">
      <c r="B108" s="4"/>
      <c r="D108" s="4"/>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F10">
    <cfRule type="notContainsBlanks" dxfId="33" priority="4">
      <formula>LEN(TRIM(F10))&gt;0</formula>
    </cfRule>
  </conditionalFormatting>
  <conditionalFormatting sqref="F11:S11">
    <cfRule type="expression" dxfId="32" priority="2">
      <formula>E11="NO SE REPORTA"</formula>
    </cfRule>
    <cfRule type="expression" dxfId="31" priority="3">
      <formula>E10="NO APLICA"</formula>
    </cfRule>
  </conditionalFormatting>
  <conditionalFormatting sqref="E12:R12">
    <cfRule type="expression" dxfId="30"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8:H20" xr:uid="{00000000-0002-0000-1F00-000000000000}">
      <formula1>0</formula1>
    </dataValidation>
    <dataValidation type="list" allowBlank="1" showInputMessage="1" showErrorMessage="1" sqref="E11" xr:uid="{00000000-0002-0000-1F00-000001000000}">
      <formula1>REPORTE</formula1>
    </dataValidation>
    <dataValidation type="list" allowBlank="1" showInputMessage="1" showErrorMessage="1" sqref="E10" xr:uid="{00000000-0002-0000-1F00-000002000000}">
      <formula1>SI</formula1>
    </dataValidation>
  </dataValidations>
  <hyperlinks>
    <hyperlink ref="B9" location="'ANEXO 3'!A1" display="VOLVER AL INDICE" xr:uid="{00000000-0004-0000-1F00-000000000000}"/>
    <hyperlink ref="E30" r:id="rId1" xr:uid="{00000000-0004-0000-1F00-000001000000}"/>
  </hyperlinks>
  <pageMargins left="0.25" right="0.25" top="0.75" bottom="0.75" header="0.3" footer="0.3"/>
  <pageSetup paperSize="178" orientation="landscape" horizontalDpi="1200" verticalDpi="120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91"/>
  <sheetViews>
    <sheetView showGridLines="0" zoomScale="98" zoomScaleNormal="98" workbookViewId="0">
      <selection activeCell="F9" sqref="F9:S9"/>
    </sheetView>
  </sheetViews>
  <sheetFormatPr defaultColWidth="10.7109375" defaultRowHeight="15"/>
  <cols>
    <col min="1" max="1" width="1.85546875" style="241" customWidth="1"/>
    <col min="2" max="2" width="12.85546875" style="241" customWidth="1"/>
    <col min="3" max="3" width="5" style="63" bestFit="1" customWidth="1"/>
    <col min="4" max="4" width="34.85546875" style="241" customWidth="1"/>
    <col min="5" max="5" width="12.140625" style="241" customWidth="1"/>
    <col min="6" max="6" width="12.28515625" style="241" customWidth="1"/>
    <col min="7" max="7" width="15.85546875" style="241" customWidth="1"/>
    <col min="8"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759</v>
      </c>
      <c r="B5" s="996"/>
      <c r="C5" s="996"/>
      <c r="D5" s="996"/>
      <c r="E5" s="996"/>
      <c r="F5" s="996"/>
      <c r="G5" s="996"/>
      <c r="H5" s="996"/>
      <c r="I5" s="996"/>
      <c r="J5" s="996"/>
      <c r="K5" s="996"/>
      <c r="L5" s="996"/>
      <c r="M5" s="996"/>
      <c r="N5" s="996"/>
      <c r="O5" s="996"/>
      <c r="P5" s="997"/>
    </row>
    <row r="6" spans="1:21" ht="15.75" thickBot="1">
      <c r="B6" s="1" t="s">
        <v>1437</v>
      </c>
      <c r="C6" s="55"/>
      <c r="D6" s="4"/>
      <c r="E6" s="53"/>
      <c r="F6" s="4" t="s">
        <v>1438</v>
      </c>
      <c r="G6" s="4"/>
      <c r="H6" s="4"/>
      <c r="I6" s="4"/>
      <c r="J6" s="4"/>
      <c r="K6" s="4"/>
    </row>
    <row r="7" spans="1:21" ht="15.75" thickBot="1">
      <c r="B7" s="132" t="s">
        <v>1440</v>
      </c>
      <c r="C7" s="164">
        <v>2020</v>
      </c>
      <c r="D7" s="166">
        <f>IF(E9="NO APLICA","NO APLICA",IF(E10="NO SE REPORTA","SIN INFORMACION",+E17))</f>
        <v>1</v>
      </c>
      <c r="E7" s="174"/>
      <c r="F7" s="4" t="s">
        <v>1439</v>
      </c>
      <c r="G7" s="4"/>
      <c r="H7" s="4"/>
      <c r="I7" s="4"/>
      <c r="J7" s="4"/>
      <c r="K7" s="4"/>
    </row>
    <row r="8" spans="1:21">
      <c r="B8" s="300" t="s">
        <v>1442</v>
      </c>
      <c r="E8" s="165"/>
      <c r="F8" s="4" t="s">
        <v>1441</v>
      </c>
      <c r="G8" s="4"/>
      <c r="H8" s="4"/>
      <c r="I8" s="4"/>
      <c r="J8" s="4"/>
      <c r="K8" s="4"/>
    </row>
    <row r="9" spans="1:21">
      <c r="B9" s="1053" t="s">
        <v>1443</v>
      </c>
      <c r="C9" s="1053"/>
      <c r="D9" s="1053"/>
      <c r="E9" s="306" t="s">
        <v>1444</v>
      </c>
      <c r="F9" s="1060"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061"/>
      <c r="H9" s="1061"/>
      <c r="I9" s="1061"/>
      <c r="J9" s="1061"/>
      <c r="K9" s="1061"/>
      <c r="L9" s="1061"/>
      <c r="M9" s="1061"/>
      <c r="N9" s="1061"/>
      <c r="O9" s="1061"/>
      <c r="P9" s="1061"/>
      <c r="Q9" s="1061"/>
      <c r="R9" s="1061"/>
      <c r="S9" s="1061"/>
      <c r="T9" s="4"/>
      <c r="U9" s="4"/>
    </row>
    <row r="10" spans="1:21" ht="14.45" customHeight="1">
      <c r="B10" s="303"/>
      <c r="C10" s="64"/>
      <c r="D10" s="132" t="str">
        <f>IF(E9="SI APLICA","¿El indicador no se reporta por limitaciones de información disponible? ","")</f>
        <v xml:space="preserve">¿El indicador no se reporta por limitaciones de información disponible? </v>
      </c>
      <c r="E10" s="307" t="s">
        <v>1445</v>
      </c>
      <c r="F10" s="1054"/>
      <c r="G10" s="1055"/>
      <c r="H10" s="1055"/>
      <c r="I10" s="1055"/>
      <c r="J10" s="1055"/>
      <c r="K10" s="1055"/>
      <c r="L10" s="1055"/>
      <c r="M10" s="1055"/>
      <c r="N10" s="1055"/>
      <c r="O10" s="1055"/>
      <c r="P10" s="1055"/>
      <c r="Q10" s="1055"/>
      <c r="R10" s="1055"/>
      <c r="S10" s="1055"/>
    </row>
    <row r="11" spans="1:21" ht="23.45" customHeight="1">
      <c r="B11" s="300"/>
      <c r="C11" s="64"/>
      <c r="D11" s="132" t="str">
        <f>IF(E10="SI SE REPORTA","¿Qué programas o proyectos del Plan de Acción están asociados al indicador? ","")</f>
        <v xml:space="preserve">¿Qué programas o proyectos del Plan de Acción están asociados al indicador? </v>
      </c>
      <c r="E11" s="1056" t="s">
        <v>2642</v>
      </c>
      <c r="F11" s="1056"/>
      <c r="G11" s="1056"/>
      <c r="H11" s="1056"/>
      <c r="I11" s="1056"/>
      <c r="J11" s="1056"/>
      <c r="K11" s="1056"/>
      <c r="L11" s="1056"/>
      <c r="M11" s="1056"/>
      <c r="N11" s="1056"/>
      <c r="O11" s="1056"/>
      <c r="P11" s="1056"/>
      <c r="Q11" s="1056"/>
      <c r="R11" s="1056"/>
    </row>
    <row r="12" spans="1:21" ht="21.95" customHeight="1" thickBot="1">
      <c r="B12" s="300"/>
      <c r="C12" s="64"/>
      <c r="D12" s="132" t="s">
        <v>1447</v>
      </c>
      <c r="E12" s="1057"/>
      <c r="F12" s="1058"/>
      <c r="G12" s="1058"/>
      <c r="H12" s="1058"/>
      <c r="I12" s="1058"/>
      <c r="J12" s="1058"/>
      <c r="K12" s="1058"/>
      <c r="L12" s="1058"/>
      <c r="M12" s="1058"/>
      <c r="N12" s="1058"/>
      <c r="O12" s="1058"/>
      <c r="P12" s="1058"/>
      <c r="Q12" s="1058"/>
      <c r="R12" s="1059"/>
    </row>
    <row r="13" spans="1:21" ht="15.75" customHeight="1" thickBot="1">
      <c r="B13" s="1134" t="s">
        <v>1449</v>
      </c>
      <c r="C13" s="74"/>
      <c r="D13" s="1041" t="s">
        <v>1450</v>
      </c>
      <c r="E13" s="1042"/>
      <c r="F13" s="1042"/>
      <c r="G13" s="1042"/>
      <c r="H13" s="1042"/>
      <c r="I13" s="1010"/>
      <c r="J13" s="1011"/>
      <c r="K13" s="4"/>
    </row>
    <row r="14" spans="1:21" ht="15.75" thickBot="1">
      <c r="B14" s="1144"/>
      <c r="C14" s="878" t="s">
        <v>1402</v>
      </c>
      <c r="D14" s="842" t="s">
        <v>1603</v>
      </c>
      <c r="E14" s="872" t="s">
        <v>1487</v>
      </c>
      <c r="F14" s="872" t="s">
        <v>1488</v>
      </c>
      <c r="G14" s="872" t="s">
        <v>1489</v>
      </c>
      <c r="H14" s="871" t="s">
        <v>1490</v>
      </c>
      <c r="I14" s="268"/>
      <c r="J14" s="269"/>
      <c r="K14" s="4"/>
    </row>
    <row r="15" spans="1:21" ht="84.75" thickBot="1">
      <c r="B15" s="1144"/>
      <c r="C15" s="857" t="s">
        <v>1605</v>
      </c>
      <c r="D15" s="845" t="s">
        <v>2643</v>
      </c>
      <c r="E15" s="5">
        <v>23</v>
      </c>
      <c r="F15" s="5">
        <v>23</v>
      </c>
      <c r="G15" s="5">
        <v>23</v>
      </c>
      <c r="H15" s="266">
        <v>23</v>
      </c>
      <c r="I15" s="270"/>
      <c r="J15" s="17"/>
      <c r="K15" s="4"/>
    </row>
    <row r="16" spans="1:21" ht="84.75" thickBot="1">
      <c r="B16" s="1144"/>
      <c r="C16" s="857" t="s">
        <v>1607</v>
      </c>
      <c r="D16" s="845" t="s">
        <v>2644</v>
      </c>
      <c r="E16" s="5">
        <v>23</v>
      </c>
      <c r="F16" s="5"/>
      <c r="G16" s="5"/>
      <c r="H16" s="266"/>
      <c r="I16" s="270"/>
      <c r="J16" s="17"/>
      <c r="K16" s="4"/>
    </row>
    <row r="17" spans="2:11" ht="72.599999999999994" customHeight="1" thickBot="1">
      <c r="B17" s="1144"/>
      <c r="C17" s="857" t="s">
        <v>1610</v>
      </c>
      <c r="D17" s="845" t="s">
        <v>2645</v>
      </c>
      <c r="E17" s="109">
        <f>+E16/E15</f>
        <v>1</v>
      </c>
      <c r="F17" s="109">
        <f>+F16/F15</f>
        <v>0</v>
      </c>
      <c r="G17" s="109">
        <f>+G16/G15</f>
        <v>0</v>
      </c>
      <c r="H17" s="267">
        <f>+H16/H15</f>
        <v>0</v>
      </c>
      <c r="I17" s="271"/>
      <c r="J17" s="19"/>
      <c r="K17" s="4"/>
    </row>
    <row r="18" spans="2:11">
      <c r="B18" s="1144"/>
      <c r="C18" s="75"/>
      <c r="D18" s="1009"/>
      <c r="E18" s="1010"/>
      <c r="F18" s="1010"/>
      <c r="G18" s="1010"/>
      <c r="H18" s="1010"/>
      <c r="I18" s="1016"/>
      <c r="J18" s="1017"/>
      <c r="K18" s="4"/>
    </row>
    <row r="19" spans="2:11" ht="24" customHeight="1" thickBot="1">
      <c r="B19" s="1144"/>
      <c r="C19" s="75"/>
      <c r="D19" s="1015" t="s">
        <v>2646</v>
      </c>
      <c r="E19" s="1016"/>
      <c r="F19" s="1016"/>
      <c r="G19" s="1016"/>
      <c r="H19" s="1016"/>
      <c r="I19" s="1016"/>
      <c r="J19" s="1017"/>
      <c r="K19" s="4"/>
    </row>
    <row r="20" spans="2:11" ht="24.75" thickBot="1">
      <c r="B20" s="1144"/>
      <c r="C20" s="878" t="s">
        <v>1402</v>
      </c>
      <c r="D20" s="881" t="s">
        <v>1782</v>
      </c>
      <c r="E20" s="842" t="s">
        <v>2647</v>
      </c>
      <c r="F20" s="842" t="s">
        <v>2648</v>
      </c>
      <c r="G20" s="842" t="s">
        <v>1406</v>
      </c>
      <c r="H20" s="4"/>
      <c r="J20" s="17"/>
      <c r="K20" s="4"/>
    </row>
    <row r="21" spans="2:11" ht="97.5" customHeight="1" thickBot="1">
      <c r="B21" s="1144"/>
      <c r="C21" s="715">
        <v>1</v>
      </c>
      <c r="D21" s="762" t="s">
        <v>1785</v>
      </c>
      <c r="E21" s="763">
        <v>23</v>
      </c>
      <c r="F21" s="24" t="s">
        <v>2649</v>
      </c>
      <c r="G21" s="24" t="s">
        <v>2650</v>
      </c>
      <c r="H21" s="4"/>
      <c r="J21" s="17"/>
      <c r="K21" s="4"/>
    </row>
    <row r="22" spans="2:11" ht="86.25" customHeight="1" thickBot="1">
      <c r="B22" s="1144"/>
      <c r="C22" s="715">
        <v>2</v>
      </c>
      <c r="D22" s="762" t="s">
        <v>1787</v>
      </c>
      <c r="E22" s="763">
        <v>23</v>
      </c>
      <c r="F22" s="24" t="s">
        <v>2649</v>
      </c>
      <c r="G22" s="24"/>
      <c r="H22" s="4"/>
      <c r="J22" s="17"/>
      <c r="K22" s="4"/>
    </row>
    <row r="23" spans="2:11" ht="132.75" thickBot="1">
      <c r="B23" s="1144"/>
      <c r="C23" s="857">
        <v>3</v>
      </c>
      <c r="D23" s="24" t="s">
        <v>2651</v>
      </c>
      <c r="E23" s="5">
        <v>23</v>
      </c>
      <c r="F23" s="24" t="s">
        <v>2649</v>
      </c>
      <c r="G23" s="24" t="s">
        <v>2652</v>
      </c>
      <c r="H23" s="4"/>
      <c r="J23" s="17"/>
      <c r="K23" s="4"/>
    </row>
    <row r="24" spans="2:11" ht="15.75" thickBot="1">
      <c r="B24" s="1144"/>
      <c r="C24" s="857">
        <v>4</v>
      </c>
      <c r="D24" s="25"/>
      <c r="E24" s="5"/>
      <c r="F24" s="24"/>
      <c r="G24" s="24"/>
      <c r="H24" s="4"/>
      <c r="J24" s="17"/>
      <c r="K24" s="4"/>
    </row>
    <row r="25" spans="2:11" ht="15.75" thickBot="1">
      <c r="B25" s="1144"/>
      <c r="C25" s="857">
        <v>5</v>
      </c>
      <c r="D25" s="25"/>
      <c r="E25" s="5"/>
      <c r="F25" s="24"/>
      <c r="G25" s="24"/>
      <c r="H25" s="4"/>
      <c r="J25" s="17"/>
      <c r="K25" s="4"/>
    </row>
    <row r="26" spans="2:11" ht="15.75" thickBot="1">
      <c r="B26" s="1144"/>
      <c r="C26" s="857">
        <v>6</v>
      </c>
      <c r="D26" s="25"/>
      <c r="E26" s="5"/>
      <c r="F26" s="24"/>
      <c r="G26" s="24"/>
      <c r="H26" s="4"/>
      <c r="J26" s="17"/>
      <c r="K26" s="4"/>
    </row>
    <row r="27" spans="2:11" ht="15.75" thickBot="1">
      <c r="B27" s="1144"/>
      <c r="C27" s="857">
        <v>7</v>
      </c>
      <c r="D27" s="25"/>
      <c r="E27" s="5"/>
      <c r="F27" s="24"/>
      <c r="G27" s="24"/>
      <c r="H27" s="4"/>
      <c r="J27" s="17"/>
      <c r="K27" s="4"/>
    </row>
    <row r="28" spans="2:11" ht="15.75" thickBot="1">
      <c r="B28" s="1144"/>
      <c r="C28" s="857">
        <v>8</v>
      </c>
      <c r="D28" s="25"/>
      <c r="E28" s="5"/>
      <c r="F28" s="24"/>
      <c r="G28" s="24"/>
      <c r="H28" s="4"/>
      <c r="J28" s="17"/>
      <c r="K28" s="4"/>
    </row>
    <row r="29" spans="2:11" ht="15.75" thickBot="1">
      <c r="B29" s="1144"/>
      <c r="C29" s="857">
        <v>9</v>
      </c>
      <c r="D29" s="25"/>
      <c r="E29" s="5"/>
      <c r="F29" s="24"/>
      <c r="G29" s="24"/>
      <c r="H29" s="4"/>
      <c r="J29" s="17"/>
      <c r="K29" s="4"/>
    </row>
    <row r="30" spans="2:11" ht="15.75" thickBot="1">
      <c r="B30" s="1135"/>
      <c r="C30" s="857">
        <v>10</v>
      </c>
      <c r="D30" s="25"/>
      <c r="E30" s="5"/>
      <c r="F30" s="24"/>
      <c r="G30" s="24"/>
      <c r="H30" s="18"/>
      <c r="J30" s="19"/>
      <c r="K30" s="4"/>
    </row>
    <row r="31" spans="2:11" ht="24" customHeight="1" thickBot="1">
      <c r="B31" s="46" t="s">
        <v>1504</v>
      </c>
      <c r="C31" s="76"/>
      <c r="D31" s="1041" t="s">
        <v>2653</v>
      </c>
      <c r="E31" s="1042"/>
      <c r="F31" s="1042"/>
      <c r="G31" s="1042"/>
      <c r="H31" s="1042"/>
      <c r="I31" s="1042"/>
      <c r="J31" s="1043"/>
      <c r="K31" s="4"/>
    </row>
    <row r="32" spans="2:11" ht="18.75" thickBot="1">
      <c r="B32" s="46" t="s">
        <v>1506</v>
      </c>
      <c r="C32" s="76"/>
      <c r="D32" s="1041" t="s">
        <v>1746</v>
      </c>
      <c r="E32" s="1042"/>
      <c r="F32" s="1042"/>
      <c r="G32" s="1042"/>
      <c r="H32" s="1042"/>
      <c r="I32" s="1042"/>
      <c r="J32" s="1043"/>
      <c r="K32" s="4"/>
    </row>
    <row r="33" spans="2:11" ht="15.75" thickBot="1">
      <c r="B33" s="1"/>
      <c r="C33" s="55"/>
      <c r="D33" s="4"/>
      <c r="E33" s="4"/>
      <c r="F33" s="4"/>
      <c r="G33" s="4"/>
      <c r="H33" s="4"/>
      <c r="I33" s="4"/>
      <c r="J33" s="4"/>
      <c r="K33" s="4"/>
    </row>
    <row r="34" spans="2:11" ht="24" customHeight="1" thickBot="1">
      <c r="B34" s="1029" t="s">
        <v>1508</v>
      </c>
      <c r="C34" s="1030"/>
      <c r="D34" s="1030"/>
      <c r="E34" s="1031"/>
      <c r="F34" s="4"/>
      <c r="G34" s="4"/>
      <c r="H34" s="4"/>
      <c r="I34" s="4"/>
      <c r="J34" s="4"/>
      <c r="K34" s="4"/>
    </row>
    <row r="35" spans="2:11" ht="15.75" thickBot="1">
      <c r="B35" s="1032">
        <v>1</v>
      </c>
      <c r="C35" s="890"/>
      <c r="D35" s="37" t="s">
        <v>1509</v>
      </c>
      <c r="E35" s="25" t="s">
        <v>1510</v>
      </c>
      <c r="F35" s="4"/>
      <c r="G35" s="4"/>
      <c r="H35" s="4"/>
      <c r="I35" s="4"/>
      <c r="J35" s="4"/>
      <c r="K35" s="4"/>
    </row>
    <row r="36" spans="2:11" ht="24.75" thickBot="1">
      <c r="B36" s="1033"/>
      <c r="C36" s="890"/>
      <c r="D36" s="845" t="s">
        <v>10</v>
      </c>
      <c r="E36" s="24" t="s">
        <v>1511</v>
      </c>
      <c r="F36" s="4"/>
      <c r="G36" s="4"/>
      <c r="H36" s="4"/>
      <c r="I36" s="4"/>
      <c r="J36" s="4"/>
      <c r="K36" s="4"/>
    </row>
    <row r="37" spans="2:11" ht="24.75" thickBot="1">
      <c r="B37" s="1033"/>
      <c r="C37" s="890"/>
      <c r="D37" s="845" t="s">
        <v>1512</v>
      </c>
      <c r="E37" s="24" t="s">
        <v>1615</v>
      </c>
      <c r="F37" s="4"/>
      <c r="G37" s="4"/>
      <c r="H37" s="4"/>
      <c r="I37" s="4"/>
      <c r="J37" s="4"/>
      <c r="K37" s="4"/>
    </row>
    <row r="38" spans="2:11" ht="15.75" thickBot="1">
      <c r="B38" s="1033"/>
      <c r="C38" s="890"/>
      <c r="D38" s="845" t="s">
        <v>13</v>
      </c>
      <c r="E38" s="25" t="s">
        <v>1514</v>
      </c>
      <c r="F38" s="4"/>
      <c r="G38" s="4"/>
      <c r="H38" s="4"/>
      <c r="I38" s="4"/>
      <c r="J38" s="4"/>
      <c r="K38" s="4"/>
    </row>
    <row r="39" spans="2:11" ht="45.75" thickBot="1">
      <c r="B39" s="1033"/>
      <c r="C39" s="890"/>
      <c r="D39" s="845" t="s">
        <v>16</v>
      </c>
      <c r="E39" s="704" t="s">
        <v>1515</v>
      </c>
      <c r="F39" s="4"/>
      <c r="G39" s="4"/>
      <c r="H39" s="4"/>
      <c r="I39" s="4"/>
      <c r="J39" s="4"/>
      <c r="K39" s="4"/>
    </row>
    <row r="40" spans="2:11" ht="15.75" thickBot="1">
      <c r="B40" s="1033"/>
      <c r="C40" s="890"/>
      <c r="D40" s="845" t="s">
        <v>19</v>
      </c>
      <c r="E40" s="275">
        <v>3686626</v>
      </c>
      <c r="F40" s="4"/>
      <c r="G40" s="4"/>
      <c r="H40" s="4"/>
      <c r="I40" s="4"/>
      <c r="J40" s="4"/>
      <c r="K40" s="4"/>
    </row>
    <row r="41" spans="2:11" ht="24.75" thickBot="1">
      <c r="B41" s="1034"/>
      <c r="C41" s="857"/>
      <c r="D41" s="845" t="s">
        <v>1516</v>
      </c>
      <c r="E41" s="24" t="s">
        <v>1517</v>
      </c>
      <c r="F41" s="4"/>
      <c r="G41" s="4"/>
      <c r="H41" s="4"/>
      <c r="I41" s="4"/>
      <c r="J41" s="4"/>
      <c r="K41" s="4"/>
    </row>
    <row r="42" spans="2:11" ht="15.75" thickBot="1">
      <c r="B42" s="1"/>
      <c r="C42" s="55"/>
      <c r="D42" s="4"/>
      <c r="E42" s="4"/>
      <c r="F42" s="4"/>
      <c r="G42" s="4"/>
      <c r="H42" s="4"/>
      <c r="I42" s="4"/>
      <c r="J42" s="4"/>
      <c r="K42" s="4"/>
    </row>
    <row r="43" spans="2:11" ht="15.75" thickBot="1">
      <c r="B43" s="1029" t="s">
        <v>1518</v>
      </c>
      <c r="C43" s="1030"/>
      <c r="D43" s="1030"/>
      <c r="E43" s="1031"/>
      <c r="F43" s="4"/>
      <c r="G43" s="4"/>
      <c r="H43" s="4"/>
      <c r="I43" s="4"/>
      <c r="J43" s="4"/>
      <c r="K43" s="4"/>
    </row>
    <row r="44" spans="2:11" ht="15.75" thickBot="1">
      <c r="B44" s="1032">
        <v>1</v>
      </c>
      <c r="C44" s="890"/>
      <c r="D44" s="37" t="s">
        <v>1509</v>
      </c>
      <c r="E44" s="299" t="s">
        <v>1519</v>
      </c>
      <c r="F44" s="4"/>
      <c r="G44" s="4"/>
      <c r="H44" s="4"/>
      <c r="I44" s="4"/>
      <c r="J44" s="4"/>
      <c r="K44" s="4"/>
    </row>
    <row r="45" spans="2:11" ht="15.75" thickBot="1">
      <c r="B45" s="1033"/>
      <c r="C45" s="890"/>
      <c r="D45" s="845" t="s">
        <v>10</v>
      </c>
      <c r="E45" s="299" t="s">
        <v>1520</v>
      </c>
      <c r="F45" s="4"/>
      <c r="G45" s="4"/>
      <c r="H45" s="4"/>
      <c r="I45" s="4"/>
      <c r="J45" s="4"/>
      <c r="K45" s="4"/>
    </row>
    <row r="46" spans="2:11" ht="15.75" thickBot="1">
      <c r="B46" s="1033"/>
      <c r="C46" s="890"/>
      <c r="D46" s="845" t="s">
        <v>1512</v>
      </c>
      <c r="E46" s="272"/>
      <c r="F46" s="4"/>
      <c r="G46" s="4"/>
      <c r="H46" s="4"/>
      <c r="I46" s="4"/>
      <c r="J46" s="4"/>
      <c r="K46" s="4"/>
    </row>
    <row r="47" spans="2:11" ht="15.75" thickBot="1">
      <c r="B47" s="1033"/>
      <c r="C47" s="890"/>
      <c r="D47" s="845" t="s">
        <v>13</v>
      </c>
      <c r="E47" s="272"/>
      <c r="F47" s="4"/>
      <c r="G47" s="4"/>
      <c r="H47" s="4"/>
      <c r="I47" s="4"/>
      <c r="J47" s="4"/>
      <c r="K47" s="4"/>
    </row>
    <row r="48" spans="2:11" ht="15.75" thickBot="1">
      <c r="B48" s="1033"/>
      <c r="C48" s="890"/>
      <c r="D48" s="845" t="s">
        <v>16</v>
      </c>
      <c r="E48" s="272"/>
      <c r="F48" s="4"/>
      <c r="G48" s="4"/>
      <c r="H48" s="4"/>
      <c r="I48" s="4"/>
      <c r="J48" s="4"/>
      <c r="K48" s="4"/>
    </row>
    <row r="49" spans="2:11" ht="15.75" thickBot="1">
      <c r="B49" s="1033"/>
      <c r="C49" s="890"/>
      <c r="D49" s="845" t="s">
        <v>19</v>
      </c>
      <c r="E49" s="272"/>
      <c r="F49" s="4"/>
      <c r="G49" s="4"/>
      <c r="H49" s="4"/>
      <c r="I49" s="4"/>
      <c r="J49" s="4"/>
      <c r="K49" s="4"/>
    </row>
    <row r="50" spans="2:11" ht="15.75" thickBot="1">
      <c r="B50" s="1034"/>
      <c r="C50" s="857"/>
      <c r="D50" s="845" t="s">
        <v>1516</v>
      </c>
      <c r="E50" s="272"/>
      <c r="F50" s="4"/>
      <c r="G50" s="4"/>
      <c r="H50" s="4"/>
      <c r="I50" s="4"/>
      <c r="J50" s="4"/>
      <c r="K50" s="4"/>
    </row>
    <row r="51" spans="2:11">
      <c r="B51" s="1"/>
      <c r="C51" s="55"/>
      <c r="D51" s="4"/>
      <c r="E51" s="4"/>
      <c r="F51" s="4"/>
      <c r="G51" s="4"/>
      <c r="H51" s="4"/>
      <c r="I51" s="4"/>
      <c r="J51" s="4"/>
      <c r="K51" s="4"/>
    </row>
    <row r="52" spans="2:11" ht="15.75" thickBot="1">
      <c r="B52" s="1"/>
      <c r="C52" s="55"/>
      <c r="D52" s="4"/>
      <c r="E52" s="4"/>
      <c r="F52" s="4"/>
      <c r="G52" s="4"/>
      <c r="H52" s="4"/>
      <c r="I52" s="4"/>
      <c r="J52" s="4"/>
      <c r="K52" s="4"/>
    </row>
    <row r="53" spans="2:11" ht="15" customHeight="1" thickBot="1">
      <c r="B53" s="88" t="s">
        <v>1521</v>
      </c>
      <c r="C53" s="89"/>
      <c r="D53" s="89"/>
      <c r="E53" s="90"/>
      <c r="G53" s="4"/>
      <c r="H53" s="4"/>
      <c r="I53" s="4"/>
      <c r="J53" s="4"/>
      <c r="K53" s="4"/>
    </row>
    <row r="54" spans="2:11" ht="24.75" thickBot="1">
      <c r="B54" s="839" t="s">
        <v>1522</v>
      </c>
      <c r="C54" s="845" t="s">
        <v>1523</v>
      </c>
      <c r="D54" s="845" t="s">
        <v>1524</v>
      </c>
      <c r="E54" s="845" t="s">
        <v>1525</v>
      </c>
      <c r="F54" s="4"/>
      <c r="G54" s="4"/>
      <c r="H54" s="4"/>
      <c r="I54" s="4"/>
      <c r="J54" s="4"/>
    </row>
    <row r="55" spans="2:11" ht="120.75" thickBot="1">
      <c r="B55" s="38">
        <v>42401</v>
      </c>
      <c r="C55" s="845">
        <v>0.01</v>
      </c>
      <c r="D55" s="837" t="s">
        <v>2654</v>
      </c>
      <c r="E55" s="845"/>
      <c r="F55" s="4"/>
      <c r="G55" s="4"/>
      <c r="H55" s="4"/>
      <c r="I55" s="4"/>
      <c r="J55" s="4"/>
    </row>
    <row r="56" spans="2:11" ht="15.75" thickBot="1">
      <c r="B56" s="2"/>
      <c r="C56" s="70"/>
      <c r="D56" s="4"/>
      <c r="E56" s="4"/>
      <c r="F56" s="4"/>
      <c r="G56" s="4"/>
      <c r="H56" s="4"/>
      <c r="I56" s="4"/>
      <c r="J56" s="4"/>
      <c r="K56" s="4"/>
    </row>
    <row r="57" spans="2:11">
      <c r="B57" s="879" t="s">
        <v>1406</v>
      </c>
      <c r="C57" s="705"/>
      <c r="D57" s="4"/>
      <c r="E57" s="4"/>
      <c r="F57" s="4"/>
      <c r="G57" s="4"/>
      <c r="H57" s="4"/>
      <c r="I57" s="4"/>
      <c r="J57" s="4"/>
      <c r="K57" s="4"/>
    </row>
    <row r="58" spans="2:11">
      <c r="B58" s="1227"/>
      <c r="C58" s="1228"/>
      <c r="D58" s="1228"/>
      <c r="E58" s="1229"/>
      <c r="F58" s="4"/>
      <c r="G58" s="4"/>
      <c r="H58" s="4"/>
      <c r="I58" s="4"/>
      <c r="J58" s="4"/>
      <c r="K58" s="4"/>
    </row>
    <row r="59" spans="2:11">
      <c r="B59" s="1230"/>
      <c r="C59" s="1231"/>
      <c r="D59" s="1231"/>
      <c r="E59" s="1232"/>
      <c r="F59" s="4"/>
      <c r="G59" s="4"/>
      <c r="H59" s="4"/>
      <c r="I59" s="4"/>
      <c r="J59" s="4"/>
      <c r="K59" s="4"/>
    </row>
    <row r="60" spans="2:11">
      <c r="B60" s="1"/>
      <c r="C60" s="55"/>
      <c r="D60" s="4"/>
      <c r="E60" s="4"/>
      <c r="F60" s="4"/>
      <c r="G60" s="4"/>
      <c r="H60" s="4"/>
      <c r="I60" s="4"/>
      <c r="J60" s="4"/>
      <c r="K60" s="4"/>
    </row>
    <row r="61" spans="2:11" ht="15.75" thickBot="1">
      <c r="B61" s="4"/>
      <c r="D61" s="4"/>
      <c r="E61" s="4"/>
      <c r="F61" s="4"/>
      <c r="G61" s="4"/>
      <c r="H61" s="4"/>
      <c r="I61" s="4"/>
      <c r="J61" s="4"/>
      <c r="K61" s="4"/>
    </row>
    <row r="62" spans="2:11" ht="15.75" thickBot="1">
      <c r="B62" s="1029" t="s">
        <v>1527</v>
      </c>
      <c r="C62" s="1030"/>
      <c r="D62" s="1031"/>
      <c r="E62" s="4"/>
      <c r="F62" s="4"/>
      <c r="G62" s="4"/>
      <c r="H62" s="4"/>
      <c r="I62" s="4"/>
      <c r="J62" s="4"/>
      <c r="K62" s="4"/>
    </row>
    <row r="63" spans="2:11" ht="120">
      <c r="B63" s="1032" t="s">
        <v>1528</v>
      </c>
      <c r="C63" s="890"/>
      <c r="D63" s="829" t="s">
        <v>2655</v>
      </c>
      <c r="E63" s="4"/>
      <c r="F63" s="4"/>
      <c r="G63" s="4"/>
      <c r="H63" s="4"/>
      <c r="I63" s="4"/>
      <c r="J63" s="4"/>
      <c r="K63" s="4"/>
    </row>
    <row r="64" spans="2:11">
      <c r="B64" s="1033"/>
      <c r="C64" s="890"/>
      <c r="D64" s="836" t="s">
        <v>1531</v>
      </c>
      <c r="E64" s="4"/>
      <c r="F64" s="4"/>
      <c r="G64" s="4"/>
      <c r="H64" s="4"/>
      <c r="I64" s="4"/>
      <c r="J64" s="4"/>
      <c r="K64" s="4"/>
    </row>
    <row r="65" spans="2:11" ht="144">
      <c r="B65" s="1033"/>
      <c r="C65" s="890"/>
      <c r="D65" s="829" t="s">
        <v>2656</v>
      </c>
      <c r="E65" s="4"/>
      <c r="F65" s="4"/>
      <c r="G65" s="4"/>
      <c r="H65" s="4"/>
      <c r="I65" s="4"/>
      <c r="J65" s="4"/>
      <c r="K65" s="4"/>
    </row>
    <row r="66" spans="2:11">
      <c r="B66" s="1033"/>
      <c r="C66" s="890"/>
      <c r="D66" s="836" t="s">
        <v>1534</v>
      </c>
      <c r="E66" s="4"/>
      <c r="F66" s="4"/>
      <c r="G66" s="4"/>
      <c r="H66" s="4"/>
      <c r="I66" s="4"/>
      <c r="J66" s="4"/>
      <c r="K66" s="4"/>
    </row>
    <row r="67" spans="2:11" ht="372.75" thickBot="1">
      <c r="B67" s="1034"/>
      <c r="C67" s="857"/>
      <c r="D67" s="845" t="s">
        <v>2657</v>
      </c>
      <c r="E67" s="4"/>
      <c r="F67" s="4"/>
      <c r="G67" s="4"/>
      <c r="H67" s="4"/>
      <c r="I67" s="4"/>
      <c r="J67" s="4"/>
      <c r="K67" s="4"/>
    </row>
    <row r="68" spans="2:11" ht="348">
      <c r="B68" s="1032" t="s">
        <v>1530</v>
      </c>
      <c r="C68" s="890"/>
      <c r="D68" s="851" t="s">
        <v>2658</v>
      </c>
      <c r="E68" s="4"/>
      <c r="F68" s="4"/>
      <c r="G68" s="4"/>
      <c r="H68" s="4"/>
      <c r="I68" s="4"/>
      <c r="J68" s="4"/>
      <c r="K68" s="4"/>
    </row>
    <row r="69" spans="2:11" ht="264">
      <c r="B69" s="1033"/>
      <c r="C69" s="890"/>
      <c r="D69" s="851" t="s">
        <v>2659</v>
      </c>
      <c r="E69" s="4"/>
      <c r="F69" s="4"/>
      <c r="G69" s="4"/>
      <c r="H69" s="4"/>
      <c r="I69" s="4"/>
      <c r="J69" s="4"/>
      <c r="K69" s="4"/>
    </row>
    <row r="70" spans="2:11" ht="36">
      <c r="B70" s="1033"/>
      <c r="C70" s="890"/>
      <c r="D70" s="851" t="s">
        <v>2660</v>
      </c>
      <c r="E70" s="4"/>
      <c r="F70" s="4"/>
      <c r="G70" s="4"/>
      <c r="H70" s="4"/>
      <c r="I70" s="4"/>
      <c r="J70" s="4"/>
      <c r="K70" s="4"/>
    </row>
    <row r="71" spans="2:11" ht="24">
      <c r="B71" s="1033"/>
      <c r="C71" s="890"/>
      <c r="D71" s="851" t="s">
        <v>2661</v>
      </c>
      <c r="E71" s="4"/>
      <c r="F71" s="4"/>
      <c r="G71" s="4"/>
      <c r="H71" s="4"/>
      <c r="I71" s="4"/>
      <c r="J71" s="4"/>
      <c r="K71" s="4"/>
    </row>
    <row r="72" spans="2:11">
      <c r="B72" s="1033"/>
      <c r="C72" s="890"/>
      <c r="D72" s="836" t="s">
        <v>1797</v>
      </c>
      <c r="E72" s="4"/>
      <c r="F72" s="4"/>
      <c r="G72" s="4"/>
      <c r="H72" s="4"/>
      <c r="I72" s="4"/>
      <c r="J72" s="4"/>
      <c r="K72" s="4"/>
    </row>
    <row r="73" spans="2:11" ht="15.75" thickBot="1">
      <c r="B73" s="1034"/>
      <c r="C73" s="857"/>
      <c r="D73" s="845" t="s">
        <v>1798</v>
      </c>
      <c r="E73" s="4"/>
      <c r="F73" s="4"/>
      <c r="G73" s="4"/>
      <c r="H73" s="4"/>
      <c r="I73" s="4"/>
      <c r="J73" s="4"/>
      <c r="K73" s="4"/>
    </row>
    <row r="74" spans="2:11" ht="24.75" thickBot="1">
      <c r="B74" s="839" t="s">
        <v>1543</v>
      </c>
      <c r="C74" s="857"/>
      <c r="D74" s="845"/>
      <c r="E74" s="4"/>
      <c r="F74" s="4"/>
      <c r="G74" s="4"/>
      <c r="H74" s="4"/>
      <c r="I74" s="4"/>
      <c r="J74" s="4"/>
      <c r="K74" s="4"/>
    </row>
    <row r="75" spans="2:11" ht="396">
      <c r="B75" s="1032" t="s">
        <v>1544</v>
      </c>
      <c r="C75" s="890"/>
      <c r="D75" s="829" t="s">
        <v>2662</v>
      </c>
      <c r="E75" s="4"/>
      <c r="F75" s="4"/>
      <c r="G75" s="4"/>
      <c r="H75" s="4"/>
      <c r="I75" s="4"/>
      <c r="J75" s="4"/>
      <c r="K75" s="4"/>
    </row>
    <row r="76" spans="2:11" ht="216">
      <c r="B76" s="1033"/>
      <c r="C76" s="890"/>
      <c r="D76" s="829" t="s">
        <v>2663</v>
      </c>
      <c r="E76" s="4"/>
      <c r="F76" s="4"/>
      <c r="G76" s="4"/>
      <c r="H76" s="4"/>
      <c r="I76" s="4"/>
      <c r="J76" s="4"/>
      <c r="K76" s="4"/>
    </row>
    <row r="77" spans="2:11" ht="120">
      <c r="B77" s="1033"/>
      <c r="C77" s="890"/>
      <c r="D77" s="829" t="s">
        <v>2664</v>
      </c>
      <c r="E77" s="4"/>
      <c r="F77" s="4"/>
      <c r="G77" s="4"/>
      <c r="H77" s="4"/>
      <c r="I77" s="4"/>
      <c r="J77" s="4"/>
      <c r="K77" s="4"/>
    </row>
    <row r="78" spans="2:11" ht="108">
      <c r="B78" s="1033"/>
      <c r="C78" s="890"/>
      <c r="D78" s="829" t="s">
        <v>2665</v>
      </c>
      <c r="E78" s="4"/>
      <c r="F78" s="4"/>
      <c r="G78" s="4"/>
      <c r="H78" s="4"/>
      <c r="I78" s="4"/>
      <c r="J78" s="4"/>
      <c r="K78" s="4"/>
    </row>
    <row r="79" spans="2:11" ht="252">
      <c r="B79" s="1033"/>
      <c r="C79" s="890"/>
      <c r="D79" s="829" t="s">
        <v>2666</v>
      </c>
      <c r="E79" s="4"/>
      <c r="F79" s="4"/>
      <c r="G79" s="4"/>
      <c r="H79" s="4"/>
      <c r="I79" s="4"/>
      <c r="J79" s="4"/>
      <c r="K79" s="4"/>
    </row>
    <row r="80" spans="2:11" ht="48">
      <c r="B80" s="1033"/>
      <c r="C80" s="890"/>
      <c r="D80" s="829" t="s">
        <v>2667</v>
      </c>
      <c r="E80" s="4"/>
      <c r="F80" s="4"/>
      <c r="G80" s="4"/>
      <c r="H80" s="4"/>
      <c r="I80" s="4"/>
      <c r="J80" s="4"/>
      <c r="K80" s="4"/>
    </row>
    <row r="81" spans="2:11" ht="96">
      <c r="B81" s="1033"/>
      <c r="C81" s="890"/>
      <c r="D81" s="47" t="s">
        <v>2668</v>
      </c>
      <c r="E81" s="4"/>
      <c r="F81" s="4"/>
      <c r="G81" s="4"/>
      <c r="H81" s="4"/>
      <c r="I81" s="4"/>
      <c r="J81" s="4"/>
      <c r="K81" s="4"/>
    </row>
    <row r="82" spans="2:11" ht="60">
      <c r="B82" s="1033"/>
      <c r="C82" s="890"/>
      <c r="D82" s="47" t="s">
        <v>2669</v>
      </c>
      <c r="E82" s="4"/>
      <c r="F82" s="4"/>
      <c r="G82" s="4"/>
      <c r="H82" s="4"/>
      <c r="I82" s="4"/>
      <c r="J82" s="4"/>
      <c r="K82" s="4"/>
    </row>
    <row r="83" spans="2:11" ht="52.5" thickBot="1">
      <c r="B83" s="1034"/>
      <c r="C83" s="857"/>
      <c r="D83" s="48" t="s">
        <v>2670</v>
      </c>
      <c r="E83" s="4"/>
      <c r="F83" s="4"/>
      <c r="G83" s="4"/>
      <c r="H83" s="4"/>
      <c r="I83" s="4"/>
      <c r="J83" s="4"/>
      <c r="K83" s="4"/>
    </row>
    <row r="84" spans="2:11" ht="15.75" thickBot="1">
      <c r="B84" s="1"/>
      <c r="C84" s="55"/>
      <c r="D84" s="4"/>
      <c r="E84" s="4"/>
      <c r="F84" s="4"/>
      <c r="G84" s="4"/>
      <c r="H84" s="4"/>
      <c r="I84" s="4"/>
      <c r="J84" s="4"/>
      <c r="K84" s="4"/>
    </row>
    <row r="85" spans="2:11" ht="48">
      <c r="B85" s="1032" t="s">
        <v>1561</v>
      </c>
      <c r="C85" s="856"/>
      <c r="D85" s="832" t="s">
        <v>2671</v>
      </c>
      <c r="E85" s="4"/>
      <c r="F85" s="4"/>
      <c r="G85" s="4"/>
      <c r="H85" s="4"/>
      <c r="I85" s="4"/>
      <c r="J85" s="4"/>
      <c r="K85" s="4"/>
    </row>
    <row r="86" spans="2:11">
      <c r="B86" s="1033"/>
      <c r="C86" s="890"/>
      <c r="D86" s="826"/>
      <c r="E86" s="4"/>
      <c r="F86" s="4"/>
      <c r="G86" s="4"/>
      <c r="H86" s="4"/>
      <c r="I86" s="4"/>
      <c r="J86" s="4"/>
      <c r="K86" s="4"/>
    </row>
    <row r="87" spans="2:11">
      <c r="B87" s="1033"/>
      <c r="C87" s="890"/>
      <c r="D87" s="829" t="s">
        <v>1562</v>
      </c>
      <c r="E87" s="4"/>
      <c r="F87" s="4"/>
      <c r="G87" s="4"/>
      <c r="H87" s="4"/>
      <c r="I87" s="4"/>
      <c r="J87" s="4"/>
      <c r="K87" s="4"/>
    </row>
    <row r="88" spans="2:11" ht="109.5">
      <c r="B88" s="1033"/>
      <c r="C88" s="890"/>
      <c r="D88" s="829" t="s">
        <v>2672</v>
      </c>
      <c r="E88" s="4"/>
      <c r="F88" s="4"/>
      <c r="G88" s="4"/>
      <c r="H88" s="4"/>
      <c r="I88" s="4"/>
      <c r="J88" s="4"/>
      <c r="K88" s="4"/>
    </row>
    <row r="89" spans="2:11" ht="97.5">
      <c r="B89" s="1033"/>
      <c r="C89" s="890"/>
      <c r="D89" s="829" t="s">
        <v>2673</v>
      </c>
      <c r="E89" s="4"/>
      <c r="F89" s="4"/>
      <c r="G89" s="4"/>
      <c r="H89" s="4"/>
      <c r="I89" s="4"/>
      <c r="J89" s="4"/>
      <c r="K89" s="4"/>
    </row>
    <row r="90" spans="2:11" ht="98.25" thickBot="1">
      <c r="B90" s="1034"/>
      <c r="C90" s="857"/>
      <c r="D90" s="845" t="s">
        <v>2674</v>
      </c>
      <c r="E90" s="4"/>
      <c r="F90" s="4"/>
      <c r="G90" s="4"/>
      <c r="H90" s="4"/>
      <c r="I90" s="4"/>
      <c r="J90" s="4"/>
      <c r="K90" s="4"/>
    </row>
    <row r="91" spans="2:11">
      <c r="B91" s="4"/>
      <c r="D91" s="4"/>
      <c r="E91" s="4"/>
      <c r="F91" s="4"/>
      <c r="G91" s="4"/>
      <c r="H91" s="4"/>
      <c r="I91" s="4"/>
      <c r="J91" s="4"/>
      <c r="K91" s="4"/>
    </row>
  </sheetData>
  <sheetProtection insertRows="0"/>
  <mergeCells count="26">
    <mergeCell ref="B63:B67"/>
    <mergeCell ref="B68:B73"/>
    <mergeCell ref="B75:B83"/>
    <mergeCell ref="B85:B90"/>
    <mergeCell ref="B13:B30"/>
    <mergeCell ref="D13:J13"/>
    <mergeCell ref="D18:J18"/>
    <mergeCell ref="D19:J19"/>
    <mergeCell ref="B62:D62"/>
    <mergeCell ref="D31:J31"/>
    <mergeCell ref="D32:J32"/>
    <mergeCell ref="B34:E34"/>
    <mergeCell ref="B35:B41"/>
    <mergeCell ref="B43:E43"/>
    <mergeCell ref="B44:B50"/>
    <mergeCell ref="B58:E59"/>
    <mergeCell ref="B9:D9"/>
    <mergeCell ref="F9:S9"/>
    <mergeCell ref="F10:S10"/>
    <mergeCell ref="E11:R11"/>
    <mergeCell ref="E12:R12"/>
    <mergeCell ref="A1:P1"/>
    <mergeCell ref="A2:P2"/>
    <mergeCell ref="A3:P3"/>
    <mergeCell ref="A4:D4"/>
    <mergeCell ref="A5:P5"/>
  </mergeCells>
  <conditionalFormatting sqref="F9">
    <cfRule type="notContainsBlanks" dxfId="29" priority="4">
      <formula>LEN(TRIM(F9))&gt;0</formula>
    </cfRule>
  </conditionalFormatting>
  <conditionalFormatting sqref="F10:S10">
    <cfRule type="expression" dxfId="28" priority="2">
      <formula>E10="NO SE REPORTA"</formula>
    </cfRule>
    <cfRule type="expression" dxfId="27" priority="3">
      <formula>E9="NO APLICA"</formula>
    </cfRule>
  </conditionalFormatting>
  <conditionalFormatting sqref="E11:R11">
    <cfRule type="expression" dxfId="26" priority="1">
      <formula>E10="SI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0" xr:uid="{00000000-0002-0000-2000-000000000000}">
      <formula1>0</formula1>
    </dataValidation>
    <dataValidation type="list" allowBlank="1" showInputMessage="1" showErrorMessage="1" sqref="E10" xr:uid="{00000000-0002-0000-2000-000001000000}">
      <formula1>REPORTE</formula1>
    </dataValidation>
    <dataValidation type="list" allowBlank="1" showInputMessage="1" showErrorMessage="1" sqref="E9" xr:uid="{00000000-0002-0000-2000-000002000000}">
      <formula1>SI</formula1>
    </dataValidation>
  </dataValidations>
  <hyperlinks>
    <hyperlink ref="B8" location="'ANEXO 3'!A1" display="VOLVER AL INDICE" xr:uid="{00000000-0004-0000-2000-000000000000}"/>
    <hyperlink ref="E39" r:id="rId1" xr:uid="{00000000-0004-0000-2000-000001000000}"/>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139"/>
  <sheetViews>
    <sheetView showGridLines="0" topLeftCell="A70" zoomScale="98" zoomScaleNormal="98" workbookViewId="0">
      <selection activeCell="F81" sqref="F81"/>
    </sheetView>
  </sheetViews>
  <sheetFormatPr defaultColWidth="10.7109375" defaultRowHeight="15"/>
  <cols>
    <col min="1" max="1" width="1.85546875" style="241" customWidth="1"/>
    <col min="2" max="2" width="12.42578125" style="241" customWidth="1"/>
    <col min="3" max="3" width="5" style="63" bestFit="1" customWidth="1"/>
    <col min="4" max="4" width="34.85546875" style="241" customWidth="1"/>
    <col min="5" max="5" width="16.5703125" style="241" customWidth="1"/>
    <col min="6"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'[2]Datos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'[2]Datos Generales'!C6</f>
        <v>2020-I</v>
      </c>
      <c r="F4" s="370"/>
      <c r="G4" s="370"/>
      <c r="H4" s="370"/>
      <c r="I4" s="370"/>
      <c r="J4" s="370"/>
      <c r="K4" s="370"/>
      <c r="L4" s="372"/>
      <c r="M4" s="372"/>
      <c r="N4" s="372"/>
      <c r="O4" s="372"/>
      <c r="P4" s="373"/>
      <c r="Q4" s="241"/>
      <c r="R4" s="241"/>
    </row>
    <row r="5" spans="1:21" ht="16.5" customHeight="1" thickBot="1">
      <c r="A5" s="995" t="s">
        <v>760</v>
      </c>
      <c r="B5" s="996"/>
      <c r="C5" s="996"/>
      <c r="D5" s="996"/>
      <c r="E5" s="996"/>
      <c r="F5" s="996"/>
      <c r="G5" s="996"/>
      <c r="H5" s="996"/>
      <c r="I5" s="996"/>
      <c r="J5" s="996"/>
      <c r="K5" s="996"/>
      <c r="L5" s="996"/>
      <c r="M5" s="996"/>
      <c r="N5" s="996"/>
      <c r="O5" s="996"/>
      <c r="P5" s="997"/>
    </row>
    <row r="6" spans="1:21">
      <c r="B6" s="1" t="s">
        <v>1437</v>
      </c>
      <c r="C6" s="55"/>
      <c r="D6" s="4"/>
      <c r="E6" s="163"/>
      <c r="F6" s="4" t="s">
        <v>1438</v>
      </c>
      <c r="G6" s="4"/>
      <c r="H6" s="4"/>
      <c r="I6" s="4"/>
      <c r="J6" s="4"/>
      <c r="K6" s="4"/>
    </row>
    <row r="7" spans="1:21" ht="15.75" thickBot="1">
      <c r="B7" s="702"/>
      <c r="C7" s="706"/>
      <c r="D7" s="4"/>
      <c r="E7" s="13"/>
      <c r="F7" s="4" t="s">
        <v>1439</v>
      </c>
      <c r="G7" s="4"/>
      <c r="H7" s="4"/>
      <c r="I7" s="4"/>
      <c r="J7" s="4"/>
      <c r="K7" s="4"/>
    </row>
    <row r="8" spans="1:21" ht="15.75" thickBot="1">
      <c r="B8" s="132" t="s">
        <v>1440</v>
      </c>
      <c r="C8" s="164">
        <v>2020</v>
      </c>
      <c r="D8" s="169">
        <f>IF(E10="NO APLICA","NO APLICA",IF(E11="NO SE REPORTA","SIN INFORMACION",+F81))</f>
        <v>0</v>
      </c>
      <c r="E8" s="165"/>
      <c r="F8" s="4" t="s">
        <v>1441</v>
      </c>
      <c r="G8" s="4"/>
      <c r="H8" s="4"/>
      <c r="I8" s="4"/>
      <c r="J8" s="4"/>
      <c r="K8" s="4"/>
    </row>
    <row r="9" spans="1:21">
      <c r="B9" s="300"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0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00"/>
      <c r="C12" s="64"/>
      <c r="D12" s="132" t="str">
        <f>IF(E11="SI SE REPORTA","¿Qué programas o proyectos del Plan de Acción están asociados al indicador? ","")</f>
        <v xml:space="preserve">¿Qué programas o proyectos del Plan de Acción están asociados al indicador? </v>
      </c>
      <c r="E12" s="1056" t="s">
        <v>2675</v>
      </c>
      <c r="F12" s="1056"/>
      <c r="G12" s="1056"/>
      <c r="H12" s="1056"/>
      <c r="I12" s="1056"/>
      <c r="J12" s="1056"/>
      <c r="K12" s="1056"/>
      <c r="L12" s="1056"/>
      <c r="M12" s="1056"/>
      <c r="N12" s="1056"/>
      <c r="O12" s="1056"/>
      <c r="P12" s="1056"/>
      <c r="Q12" s="1056"/>
      <c r="R12" s="1056"/>
    </row>
    <row r="13" spans="1:21" ht="21.95" customHeight="1">
      <c r="B13" s="300"/>
      <c r="C13" s="64"/>
      <c r="D13" s="132" t="s">
        <v>1447</v>
      </c>
      <c r="E13" s="1057"/>
      <c r="F13" s="1058"/>
      <c r="G13" s="1058"/>
      <c r="H13" s="1058"/>
      <c r="I13" s="1058"/>
      <c r="J13" s="1058"/>
      <c r="K13" s="1058"/>
      <c r="L13" s="1058"/>
      <c r="M13" s="1058"/>
      <c r="N13" s="1058"/>
      <c r="O13" s="1058"/>
      <c r="P13" s="1058"/>
      <c r="Q13" s="1058"/>
      <c r="R13" s="1059"/>
    </row>
    <row r="14" spans="1:21" ht="6.95" customHeight="1" thickBot="1">
      <c r="B14" s="300"/>
      <c r="C14" s="64"/>
      <c r="D14" s="4"/>
      <c r="E14" s="4"/>
      <c r="F14" s="4"/>
      <c r="G14" s="4"/>
      <c r="H14" s="4"/>
      <c r="I14" s="4"/>
      <c r="J14" s="4"/>
      <c r="K14" s="4"/>
    </row>
    <row r="15" spans="1:21" ht="15" customHeight="1" thickTop="1">
      <c r="B15" s="1088" t="s">
        <v>1449</v>
      </c>
      <c r="C15" s="65"/>
      <c r="D15" s="1009" t="s">
        <v>1450</v>
      </c>
      <c r="E15" s="1010"/>
      <c r="F15" s="1010"/>
      <c r="G15" s="1010"/>
      <c r="H15" s="1010"/>
      <c r="I15" s="1010"/>
      <c r="J15" s="1010"/>
      <c r="K15" s="1010"/>
      <c r="L15" s="1157"/>
      <c r="M15" s="1145"/>
    </row>
    <row r="16" spans="1:21">
      <c r="B16" s="1004"/>
      <c r="C16" s="68"/>
      <c r="D16" s="1174" t="s">
        <v>2676</v>
      </c>
      <c r="E16" s="1175"/>
      <c r="F16" s="1175"/>
      <c r="G16" s="1175"/>
      <c r="H16" s="1175"/>
      <c r="I16" s="1175"/>
      <c r="J16" s="1175"/>
      <c r="K16" s="1175"/>
      <c r="L16" s="1233"/>
      <c r="M16" s="1209"/>
    </row>
    <row r="17" spans="2:13" ht="15.75" thickBot="1">
      <c r="B17" s="1004"/>
      <c r="C17" s="68"/>
      <c r="D17" s="1015" t="s">
        <v>2677</v>
      </c>
      <c r="E17" s="1016"/>
      <c r="F17" s="1016"/>
      <c r="G17" s="1016"/>
      <c r="H17" s="1016"/>
      <c r="I17" s="1016"/>
      <c r="J17" s="1016"/>
      <c r="K17" s="1016"/>
      <c r="L17" s="1158"/>
      <c r="M17" s="1146"/>
    </row>
    <row r="18" spans="2:13" ht="15.75" thickBot="1">
      <c r="B18" s="1004"/>
      <c r="C18" s="890"/>
      <c r="D18" s="1240" t="s">
        <v>2678</v>
      </c>
      <c r="E18" s="1153" t="s">
        <v>2679</v>
      </c>
      <c r="F18" s="1155"/>
      <c r="G18" s="1153" t="s">
        <v>2680</v>
      </c>
      <c r="H18" s="1155"/>
      <c r="I18" s="1153" t="s">
        <v>1604</v>
      </c>
      <c r="J18" s="1155"/>
      <c r="K18" s="45"/>
      <c r="M18" s="11"/>
    </row>
    <row r="19" spans="2:13" ht="15.75" thickBot="1">
      <c r="B19" s="1004"/>
      <c r="C19" s="890"/>
      <c r="D19" s="1241"/>
      <c r="E19" s="32" t="s">
        <v>2681</v>
      </c>
      <c r="F19" s="32" t="s">
        <v>2682</v>
      </c>
      <c r="G19" s="32" t="s">
        <v>2681</v>
      </c>
      <c r="H19" s="32" t="s">
        <v>2682</v>
      </c>
      <c r="I19" s="32" t="s">
        <v>2681</v>
      </c>
      <c r="J19" s="32" t="s">
        <v>2682</v>
      </c>
      <c r="M19" s="11"/>
    </row>
    <row r="20" spans="2:13" ht="15.75" thickBot="1">
      <c r="B20" s="838"/>
      <c r="C20" s="890"/>
      <c r="D20" s="32" t="s">
        <v>2683</v>
      </c>
      <c r="E20" s="5">
        <v>0</v>
      </c>
      <c r="F20" s="5"/>
      <c r="G20" s="5">
        <v>0</v>
      </c>
      <c r="H20" s="5"/>
      <c r="I20" s="162">
        <f>+E20+G20</f>
        <v>0</v>
      </c>
      <c r="J20" s="162">
        <f>+F20+H20</f>
        <v>0</v>
      </c>
      <c r="M20" s="11"/>
    </row>
    <row r="21" spans="2:13">
      <c r="B21" s="838"/>
      <c r="C21" s="739"/>
      <c r="D21" s="1015"/>
      <c r="E21" s="1016"/>
      <c r="F21" s="1016"/>
      <c r="G21" s="1016"/>
      <c r="H21" s="1016"/>
      <c r="I21" s="1016"/>
      <c r="J21" s="1016"/>
      <c r="K21" s="1016"/>
      <c r="L21" s="1158"/>
      <c r="M21" s="1146"/>
    </row>
    <row r="22" spans="2:13" ht="15.75" thickBot="1">
      <c r="B22" s="838"/>
      <c r="C22" s="68"/>
      <c r="D22" s="828"/>
      <c r="E22" s="828"/>
      <c r="F22" s="289" t="s">
        <v>1406</v>
      </c>
      <c r="G22" s="828"/>
      <c r="H22" s="828"/>
      <c r="I22" s="828"/>
      <c r="J22" s="828"/>
      <c r="K22" s="828"/>
      <c r="L22" s="286"/>
      <c r="M22" s="287"/>
    </row>
    <row r="23" spans="2:13" ht="24.75" thickBot="1">
      <c r="B23" s="838"/>
      <c r="C23" s="890"/>
      <c r="D23" s="842" t="s">
        <v>2684</v>
      </c>
      <c r="E23" s="285">
        <f>+I20</f>
        <v>0</v>
      </c>
      <c r="F23" s="288"/>
      <c r="G23" s="4"/>
      <c r="H23" s="4"/>
      <c r="I23" s="4"/>
      <c r="J23" s="4"/>
      <c r="K23" s="4"/>
      <c r="M23" s="11"/>
    </row>
    <row r="24" spans="2:13" ht="24.75" thickBot="1">
      <c r="B24" s="838"/>
      <c r="C24" s="890"/>
      <c r="D24" s="845" t="s">
        <v>2685</v>
      </c>
      <c r="E24" s="285">
        <f>+J20</f>
        <v>0</v>
      </c>
      <c r="F24" s="145"/>
      <c r="G24" s="4"/>
      <c r="H24" s="4"/>
      <c r="I24" s="4"/>
      <c r="J24" s="4"/>
      <c r="K24" s="4"/>
      <c r="M24" s="11"/>
    </row>
    <row r="25" spans="2:13" ht="24.75" thickBot="1">
      <c r="B25" s="838"/>
      <c r="C25" s="890"/>
      <c r="D25" s="845" t="s">
        <v>2686</v>
      </c>
      <c r="E25" s="267" t="e">
        <f>+E24/E23</f>
        <v>#DIV/0!</v>
      </c>
      <c r="F25" s="145"/>
      <c r="G25" s="4"/>
      <c r="H25" s="4"/>
      <c r="I25" s="4"/>
      <c r="J25" s="4"/>
      <c r="K25" s="4"/>
      <c r="M25" s="11"/>
    </row>
    <row r="26" spans="2:13">
      <c r="B26" s="838"/>
      <c r="C26" s="68"/>
      <c r="D26" s="1174" t="s">
        <v>2687</v>
      </c>
      <c r="E26" s="1175"/>
      <c r="F26" s="1175"/>
      <c r="G26" s="1175"/>
      <c r="H26" s="1175"/>
      <c r="I26" s="1175"/>
      <c r="J26" s="1175"/>
      <c r="K26" s="1175"/>
      <c r="L26" s="1233"/>
      <c r="M26" s="1209"/>
    </row>
    <row r="27" spans="2:13" ht="15.75" thickBot="1">
      <c r="B27" s="838"/>
      <c r="C27" s="68"/>
      <c r="D27" s="1012" t="s">
        <v>2688</v>
      </c>
      <c r="E27" s="1013"/>
      <c r="F27" s="1013"/>
      <c r="G27" s="1013"/>
      <c r="H27" s="1013"/>
      <c r="I27" s="1013"/>
      <c r="J27" s="1013"/>
      <c r="K27" s="1013"/>
      <c r="L27" s="1159"/>
      <c r="M27" s="1147"/>
    </row>
    <row r="28" spans="2:13" ht="24.75" thickBot="1">
      <c r="B28" s="838"/>
      <c r="C28" s="890"/>
      <c r="D28" s="842" t="s">
        <v>2689</v>
      </c>
      <c r="E28" s="262">
        <v>1</v>
      </c>
      <c r="F28" s="4"/>
      <c r="G28" s="4"/>
      <c r="H28" s="4"/>
      <c r="I28" s="4"/>
      <c r="J28" s="4"/>
      <c r="K28" s="4"/>
      <c r="M28" s="11"/>
    </row>
    <row r="29" spans="2:13" ht="24.75" thickBot="1">
      <c r="B29" s="838"/>
      <c r="C29" s="890"/>
      <c r="D29" s="845" t="s">
        <v>2690</v>
      </c>
      <c r="E29" s="262">
        <v>7</v>
      </c>
      <c r="F29" s="4"/>
      <c r="G29" s="4"/>
      <c r="H29" s="4"/>
      <c r="I29" s="4"/>
      <c r="J29" s="4"/>
      <c r="K29" s="4"/>
      <c r="M29" s="11"/>
    </row>
    <row r="30" spans="2:13" ht="24.75" thickBot="1">
      <c r="B30" s="838"/>
      <c r="C30" s="890"/>
      <c r="D30" s="845" t="s">
        <v>2691</v>
      </c>
      <c r="E30" s="262">
        <v>0</v>
      </c>
      <c r="F30" s="4"/>
      <c r="G30" s="4"/>
      <c r="H30" s="4"/>
      <c r="I30" s="4"/>
      <c r="J30" s="4"/>
      <c r="K30" s="4"/>
      <c r="M30" s="11"/>
    </row>
    <row r="31" spans="2:13" ht="15.75" thickBot="1">
      <c r="B31" s="838"/>
      <c r="C31" s="68"/>
      <c r="D31" s="1044" t="s">
        <v>2692</v>
      </c>
      <c r="E31" s="1045"/>
      <c r="F31" s="1045"/>
      <c r="G31" s="1045"/>
      <c r="H31" s="1045"/>
      <c r="I31" s="1045"/>
      <c r="J31" s="1045"/>
      <c r="K31" s="1045"/>
      <c r="L31" s="1234"/>
      <c r="M31" s="1148"/>
    </row>
    <row r="32" spans="2:13" ht="15.75" thickBot="1">
      <c r="B32" s="838"/>
      <c r="C32" s="878" t="s">
        <v>1402</v>
      </c>
      <c r="D32" s="842" t="s">
        <v>2693</v>
      </c>
      <c r="E32" s="160">
        <v>1</v>
      </c>
      <c r="F32" s="160">
        <v>1</v>
      </c>
      <c r="G32" s="160">
        <v>1</v>
      </c>
      <c r="H32" s="160">
        <v>1</v>
      </c>
      <c r="I32" s="160">
        <v>1</v>
      </c>
      <c r="J32" s="160">
        <v>1</v>
      </c>
      <c r="K32" s="160">
        <v>1</v>
      </c>
      <c r="L32" s="263"/>
      <c r="M32" s="86"/>
    </row>
    <row r="33" spans="2:16" ht="24.75" thickBot="1">
      <c r="B33" s="838"/>
      <c r="C33" s="857" t="s">
        <v>1605</v>
      </c>
      <c r="D33" s="845" t="s">
        <v>2694</v>
      </c>
      <c r="E33" s="798" t="s">
        <v>2695</v>
      </c>
      <c r="F33" s="798" t="s">
        <v>2696</v>
      </c>
      <c r="G33" s="798" t="s">
        <v>2697</v>
      </c>
      <c r="H33" s="799" t="s">
        <v>2698</v>
      </c>
      <c r="I33" s="799" t="s">
        <v>2699</v>
      </c>
      <c r="J33" s="799" t="s">
        <v>2700</v>
      </c>
      <c r="K33" s="798" t="s">
        <v>2701</v>
      </c>
      <c r="L33" s="290"/>
      <c r="M33" s="9"/>
    </row>
    <row r="34" spans="2:16" ht="24.75" thickBot="1">
      <c r="B34" s="838"/>
      <c r="C34" s="857" t="s">
        <v>1607</v>
      </c>
      <c r="D34" s="844" t="s">
        <v>2702</v>
      </c>
      <c r="E34" s="800" t="s">
        <v>2703</v>
      </c>
      <c r="F34" s="801" t="s">
        <v>2704</v>
      </c>
      <c r="G34" s="801" t="s">
        <v>2704</v>
      </c>
      <c r="H34" s="798" t="s">
        <v>2705</v>
      </c>
      <c r="I34" s="798" t="s">
        <v>2705</v>
      </c>
      <c r="J34" s="800" t="s">
        <v>2703</v>
      </c>
      <c r="K34" s="800" t="s">
        <v>2703</v>
      </c>
      <c r="L34" s="292"/>
      <c r="M34" s="11"/>
    </row>
    <row r="35" spans="2:16" ht="24.75" thickBot="1">
      <c r="B35" s="838"/>
      <c r="C35" s="857" t="s">
        <v>1610</v>
      </c>
      <c r="D35" s="844" t="s">
        <v>2706</v>
      </c>
      <c r="E35" s="293">
        <v>240</v>
      </c>
      <c r="F35" s="293">
        <v>240</v>
      </c>
      <c r="G35" s="293">
        <v>240</v>
      </c>
      <c r="H35" s="293">
        <v>0</v>
      </c>
      <c r="I35" s="293">
        <v>240</v>
      </c>
      <c r="J35" s="293">
        <v>240</v>
      </c>
      <c r="K35" s="293">
        <v>240</v>
      </c>
      <c r="L35" s="294"/>
      <c r="M35" s="11"/>
    </row>
    <row r="36" spans="2:16" ht="24.75" thickBot="1">
      <c r="B36" s="838"/>
      <c r="C36" s="857" t="s">
        <v>1713</v>
      </c>
      <c r="D36" s="844" t="s">
        <v>2707</v>
      </c>
      <c r="E36" s="295">
        <v>90</v>
      </c>
      <c r="F36" s="295">
        <v>90</v>
      </c>
      <c r="G36" s="295">
        <v>90</v>
      </c>
      <c r="H36" s="295">
        <v>0</v>
      </c>
      <c r="I36" s="295">
        <v>90</v>
      </c>
      <c r="J36" s="295">
        <v>90</v>
      </c>
      <c r="K36" s="295">
        <v>90</v>
      </c>
      <c r="L36" s="296"/>
      <c r="M36" s="11"/>
    </row>
    <row r="37" spans="2:16" ht="24.75" thickBot="1">
      <c r="B37" s="838"/>
      <c r="C37" s="1235" t="s">
        <v>1715</v>
      </c>
      <c r="D37" s="802" t="s">
        <v>2708</v>
      </c>
      <c r="E37" s="291">
        <f>IFERROR(E36/E35,"N.A.")</f>
        <v>0.375</v>
      </c>
      <c r="F37" s="291">
        <f t="shared" ref="F37:L37" si="0">IFERROR(F36/F35,"N.A.")</f>
        <v>0.375</v>
      </c>
      <c r="G37" s="291">
        <f t="shared" si="0"/>
        <v>0.375</v>
      </c>
      <c r="H37" s="291" t="str">
        <f t="shared" si="0"/>
        <v>N.A.</v>
      </c>
      <c r="I37" s="291">
        <f t="shared" si="0"/>
        <v>0.375</v>
      </c>
      <c r="J37" s="291">
        <f t="shared" si="0"/>
        <v>0.375</v>
      </c>
      <c r="K37" s="291">
        <f t="shared" si="0"/>
        <v>0.375</v>
      </c>
      <c r="L37" s="291" t="str">
        <f t="shared" si="0"/>
        <v>N.A.</v>
      </c>
      <c r="M37" s="9"/>
    </row>
    <row r="38" spans="2:16" ht="24.75" thickBot="1">
      <c r="B38" s="838"/>
      <c r="C38" s="1236"/>
      <c r="D38" s="883" t="s">
        <v>2709</v>
      </c>
      <c r="E38" s="111">
        <f>+IF(E37="N.A.","N.A.",IF(E37&gt;=75%,1,0))</f>
        <v>0</v>
      </c>
      <c r="F38" s="111">
        <f t="shared" ref="F38:L38" si="1">+IF(F37="N.A.","N.A.",IF(F37&gt;=75%,1,0))</f>
        <v>0</v>
      </c>
      <c r="G38" s="111">
        <f t="shared" si="1"/>
        <v>0</v>
      </c>
      <c r="H38" s="111" t="str">
        <f t="shared" si="1"/>
        <v>N.A.</v>
      </c>
      <c r="I38" s="111">
        <f t="shared" si="1"/>
        <v>0</v>
      </c>
      <c r="J38" s="111">
        <f t="shared" si="1"/>
        <v>0</v>
      </c>
      <c r="K38" s="111">
        <f t="shared" si="1"/>
        <v>0</v>
      </c>
      <c r="L38" s="111" t="str">
        <f t="shared" si="1"/>
        <v>N.A.</v>
      </c>
      <c r="M38" s="9"/>
    </row>
    <row r="39" spans="2:16" ht="54" customHeight="1" thickBot="1">
      <c r="B39" s="838"/>
      <c r="C39" s="883" t="s">
        <v>1717</v>
      </c>
      <c r="D39" s="803" t="s">
        <v>2710</v>
      </c>
      <c r="E39" s="1237" t="s">
        <v>2711</v>
      </c>
      <c r="F39" s="1238"/>
      <c r="G39" s="1238"/>
      <c r="H39" s="1238"/>
      <c r="I39" s="1238"/>
      <c r="J39" s="1238"/>
      <c r="K39" s="1238"/>
      <c r="L39" s="1239"/>
      <c r="M39" s="804"/>
      <c r="N39" s="805"/>
      <c r="O39" s="805"/>
      <c r="P39" s="805"/>
    </row>
    <row r="40" spans="2:16">
      <c r="B40" s="838"/>
      <c r="C40" s="68"/>
      <c r="D40" s="1009"/>
      <c r="E40" s="1010"/>
      <c r="F40" s="1010"/>
      <c r="G40" s="1010"/>
      <c r="H40" s="1010"/>
      <c r="I40" s="1010"/>
      <c r="J40" s="1010"/>
      <c r="K40" s="1010"/>
      <c r="L40" s="1157"/>
      <c r="M40" s="1145"/>
      <c r="P40" s="94"/>
    </row>
    <row r="41" spans="2:16" ht="15.75" thickBot="1">
      <c r="B41" s="838"/>
      <c r="C41" s="68"/>
      <c r="D41" s="1015" t="s">
        <v>2712</v>
      </c>
      <c r="E41" s="1016"/>
      <c r="F41" s="1016"/>
      <c r="G41" s="1016"/>
      <c r="H41" s="1016"/>
      <c r="I41" s="1016"/>
      <c r="J41" s="1016"/>
      <c r="K41" s="1016"/>
      <c r="L41" s="1158"/>
      <c r="M41" s="1146"/>
    </row>
    <row r="42" spans="2:16" ht="15.75" thickBot="1">
      <c r="B42" s="838"/>
      <c r="C42" s="878" t="s">
        <v>1402</v>
      </c>
      <c r="D42" s="842" t="s">
        <v>2713</v>
      </c>
      <c r="E42" s="5">
        <v>1</v>
      </c>
      <c r="F42" s="5"/>
      <c r="G42" s="5"/>
      <c r="H42" s="842" t="s">
        <v>1604</v>
      </c>
      <c r="I42" s="4"/>
      <c r="J42" s="117" t="s">
        <v>2714</v>
      </c>
      <c r="K42" s="4"/>
      <c r="M42" s="11"/>
    </row>
    <row r="43" spans="2:16" ht="15.75" thickBot="1">
      <c r="B43" s="838"/>
      <c r="C43" s="857" t="s">
        <v>1719</v>
      </c>
      <c r="D43" s="845" t="s">
        <v>2715</v>
      </c>
      <c r="E43" s="222">
        <v>1</v>
      </c>
      <c r="F43" s="25"/>
      <c r="G43" s="25"/>
      <c r="H43" s="112">
        <f>MAX(E42:G42)</f>
        <v>1</v>
      </c>
      <c r="I43" s="4"/>
      <c r="K43" s="4"/>
      <c r="M43" s="11"/>
    </row>
    <row r="44" spans="2:16" ht="15.75" thickBot="1">
      <c r="B44" s="838"/>
      <c r="C44" s="857" t="s">
        <v>1721</v>
      </c>
      <c r="D44" s="845" t="s">
        <v>2716</v>
      </c>
      <c r="E44" s="5">
        <v>6</v>
      </c>
      <c r="F44" s="5"/>
      <c r="G44" s="5"/>
      <c r="H44" s="113">
        <f>SUM(E44:G44)</f>
        <v>6</v>
      </c>
      <c r="I44" s="4"/>
      <c r="J44" s="4"/>
      <c r="K44" s="4"/>
      <c r="M44" s="11"/>
    </row>
    <row r="45" spans="2:16" ht="36.75" thickBot="1">
      <c r="B45" s="838"/>
      <c r="C45" s="857" t="s">
        <v>1723</v>
      </c>
      <c r="D45" s="845" t="s">
        <v>2717</v>
      </c>
      <c r="E45" s="5">
        <v>0</v>
      </c>
      <c r="F45" s="5"/>
      <c r="G45" s="5"/>
      <c r="H45" s="113">
        <f>SUM(E45:G45)</f>
        <v>0</v>
      </c>
      <c r="I45" s="4"/>
      <c r="J45" s="4"/>
      <c r="K45" s="4"/>
      <c r="M45" s="11"/>
    </row>
    <row r="46" spans="2:16" ht="24.75" thickBot="1">
      <c r="B46" s="838"/>
      <c r="C46" s="1089" t="s">
        <v>2718</v>
      </c>
      <c r="D46" s="829" t="s">
        <v>2719</v>
      </c>
      <c r="E46" s="110">
        <f>IFERROR(E45/E44,"N.A.")</f>
        <v>0</v>
      </c>
      <c r="F46" s="110" t="str">
        <f>IFERROR(F45/F44,"N.A.")</f>
        <v>N.A.</v>
      </c>
      <c r="G46" s="110" t="str">
        <f>IFERROR(G45/G44,"N.A.")</f>
        <v>N.A.</v>
      </c>
      <c r="H46" s="114"/>
      <c r="I46" s="4"/>
      <c r="J46" s="4"/>
      <c r="K46" s="4"/>
      <c r="M46" s="11"/>
    </row>
    <row r="47" spans="2:16" ht="24.75" thickBot="1">
      <c r="B47" s="838"/>
      <c r="C47" s="1090"/>
      <c r="D47" s="845" t="s">
        <v>2720</v>
      </c>
      <c r="E47" s="111">
        <f>+IF(E46="N.A.","N.A.",IF(E46&gt;=75%,1,0))</f>
        <v>0</v>
      </c>
      <c r="F47" s="111" t="str">
        <f>+IF(F46="N.A.","N.A.",IF(F46&gt;=75%,1,0))</f>
        <v>N.A.</v>
      </c>
      <c r="G47" s="111" t="str">
        <f>+IF(G46="N.A.","N.A.",IF(G46&gt;=75%,1,0))</f>
        <v>N.A.</v>
      </c>
      <c r="H47" s="113">
        <f>SUM(E47:G47)</f>
        <v>0</v>
      </c>
      <c r="I47" s="4"/>
      <c r="J47" s="4"/>
      <c r="K47" s="4"/>
      <c r="M47" s="11"/>
    </row>
    <row r="48" spans="2:16" ht="15.75" thickBot="1">
      <c r="B48" s="838"/>
      <c r="C48" s="857" t="s">
        <v>2721</v>
      </c>
      <c r="D48" s="1041" t="s">
        <v>2722</v>
      </c>
      <c r="E48" s="1042"/>
      <c r="F48" s="1042"/>
      <c r="G48" s="1043"/>
      <c r="H48" s="806">
        <f>IFERROR(H47/H43,"N.A.")</f>
        <v>0</v>
      </c>
      <c r="I48" s="4"/>
      <c r="J48" s="4"/>
      <c r="K48" s="4"/>
      <c r="M48" s="11"/>
    </row>
    <row r="49" spans="2:13" ht="15.75" thickBot="1">
      <c r="B49" s="838"/>
      <c r="C49" s="68"/>
      <c r="D49" s="1174" t="s">
        <v>2723</v>
      </c>
      <c r="E49" s="1175"/>
      <c r="F49" s="1175"/>
      <c r="G49" s="1175"/>
      <c r="H49" s="1175"/>
      <c r="I49" s="1175"/>
      <c r="J49" s="1175"/>
      <c r="K49" s="1175"/>
      <c r="L49" s="1233"/>
      <c r="M49" s="1209"/>
    </row>
    <row r="50" spans="2:13" ht="24.75" thickBot="1">
      <c r="B50" s="838"/>
      <c r="C50" s="890"/>
      <c r="D50" s="842" t="s">
        <v>2689</v>
      </c>
      <c r="E50" s="5">
        <v>1</v>
      </c>
      <c r="F50" s="4"/>
      <c r="G50" s="4"/>
      <c r="H50" s="4"/>
      <c r="I50" s="4"/>
      <c r="J50" s="4"/>
      <c r="K50" s="4"/>
      <c r="M50" s="11"/>
    </row>
    <row r="51" spans="2:13" ht="24.75" thickBot="1">
      <c r="B51" s="838"/>
      <c r="C51" s="890"/>
      <c r="D51" s="845" t="s">
        <v>2690</v>
      </c>
      <c r="E51" s="5">
        <v>3</v>
      </c>
      <c r="F51" s="4"/>
      <c r="G51" s="4"/>
      <c r="H51" s="4"/>
      <c r="I51" s="4"/>
      <c r="J51" s="4"/>
      <c r="K51" s="4"/>
      <c r="M51" s="11"/>
    </row>
    <row r="52" spans="2:13" ht="24.75" thickBot="1">
      <c r="B52" s="838"/>
      <c r="C52" s="890"/>
      <c r="D52" s="845" t="s">
        <v>2691</v>
      </c>
      <c r="E52" s="5">
        <v>0</v>
      </c>
      <c r="F52" s="4"/>
      <c r="G52" s="4"/>
      <c r="H52" s="4"/>
      <c r="I52" s="4"/>
      <c r="J52" s="4"/>
      <c r="K52" s="4"/>
      <c r="M52" s="11"/>
    </row>
    <row r="53" spans="2:13" ht="15.75" thickBot="1">
      <c r="B53" s="838"/>
      <c r="C53" s="68"/>
      <c r="D53" s="1044" t="s">
        <v>2692</v>
      </c>
      <c r="E53" s="1045"/>
      <c r="F53" s="1045"/>
      <c r="G53" s="1045"/>
      <c r="H53" s="1045"/>
      <c r="I53" s="1045"/>
      <c r="J53" s="1045"/>
      <c r="K53" s="1045"/>
      <c r="L53" s="1234"/>
      <c r="M53" s="1148"/>
    </row>
    <row r="54" spans="2:13" ht="15.75" thickBot="1">
      <c r="B54" s="838"/>
      <c r="C54" s="878" t="s">
        <v>1402</v>
      </c>
      <c r="D54" s="842" t="s">
        <v>2693</v>
      </c>
      <c r="E54" s="160">
        <v>1</v>
      </c>
      <c r="F54" s="160">
        <v>1</v>
      </c>
      <c r="G54" s="160">
        <v>1</v>
      </c>
      <c r="H54" s="160"/>
      <c r="I54" s="160"/>
      <c r="J54" s="853"/>
      <c r="K54" s="853"/>
      <c r="L54" s="263"/>
      <c r="M54" s="86"/>
    </row>
    <row r="55" spans="2:13" ht="24.75" thickBot="1">
      <c r="B55" s="838"/>
      <c r="C55" s="857" t="s">
        <v>1605</v>
      </c>
      <c r="D55" s="845" t="s">
        <v>2694</v>
      </c>
      <c r="E55" s="798" t="s">
        <v>2695</v>
      </c>
      <c r="F55" s="799" t="s">
        <v>2700</v>
      </c>
      <c r="G55" s="798" t="s">
        <v>2701</v>
      </c>
      <c r="H55" s="25"/>
      <c r="I55" s="25"/>
      <c r="J55" s="25"/>
      <c r="K55" s="25"/>
      <c r="L55" s="264"/>
      <c r="M55" s="9"/>
    </row>
    <row r="56" spans="2:13" ht="15.75" thickBot="1">
      <c r="B56" s="838"/>
      <c r="C56" s="857" t="s">
        <v>1607</v>
      </c>
      <c r="D56" s="845" t="s">
        <v>2702</v>
      </c>
      <c r="E56" s="807" t="s">
        <v>2703</v>
      </c>
      <c r="F56" s="807" t="s">
        <v>2703</v>
      </c>
      <c r="G56" s="807" t="s">
        <v>2703</v>
      </c>
      <c r="H56" s="25"/>
      <c r="I56" s="25"/>
      <c r="J56" s="25"/>
      <c r="K56" s="25"/>
      <c r="L56" s="264"/>
      <c r="M56" s="9"/>
    </row>
    <row r="57" spans="2:13" ht="24.75" thickBot="1">
      <c r="B57" s="838"/>
      <c r="C57" s="857" t="s">
        <v>1610</v>
      </c>
      <c r="D57" s="845" t="s">
        <v>2706</v>
      </c>
      <c r="E57" s="808">
        <v>240</v>
      </c>
      <c r="F57" s="808">
        <v>240</v>
      </c>
      <c r="G57" s="808">
        <v>240</v>
      </c>
      <c r="H57" s="265"/>
      <c r="I57" s="265"/>
      <c r="J57" s="265"/>
      <c r="K57" s="265"/>
      <c r="L57" s="265"/>
      <c r="M57" s="9"/>
    </row>
    <row r="58" spans="2:13" ht="24.75" thickBot="1">
      <c r="B58" s="838"/>
      <c r="C58" s="857" t="s">
        <v>1713</v>
      </c>
      <c r="D58" s="845" t="s">
        <v>2707</v>
      </c>
      <c r="E58" s="265">
        <v>90</v>
      </c>
      <c r="F58" s="265">
        <v>90</v>
      </c>
      <c r="G58" s="265">
        <v>90</v>
      </c>
      <c r="H58" s="265"/>
      <c r="I58" s="265"/>
      <c r="J58" s="265"/>
      <c r="K58" s="265"/>
      <c r="L58" s="265"/>
      <c r="M58" s="9"/>
    </row>
    <row r="59" spans="2:13" ht="24.75" thickBot="1">
      <c r="B59" s="838"/>
      <c r="C59" s="1089" t="s">
        <v>1715</v>
      </c>
      <c r="D59" s="829" t="s">
        <v>2708</v>
      </c>
      <c r="E59" s="110">
        <f t="shared" ref="E59:L59" si="2">IFERROR(E58/E57,"N.A.")</f>
        <v>0.375</v>
      </c>
      <c r="F59" s="110">
        <f t="shared" si="2"/>
        <v>0.375</v>
      </c>
      <c r="G59" s="110">
        <f t="shared" si="2"/>
        <v>0.375</v>
      </c>
      <c r="H59" s="110" t="str">
        <f t="shared" si="2"/>
        <v>N.A.</v>
      </c>
      <c r="I59" s="110" t="str">
        <f t="shared" si="2"/>
        <v>N.A.</v>
      </c>
      <c r="J59" s="110" t="str">
        <f t="shared" si="2"/>
        <v>N.A.</v>
      </c>
      <c r="K59" s="110" t="str">
        <f t="shared" si="2"/>
        <v>N.A.</v>
      </c>
      <c r="L59" s="110" t="str">
        <f t="shared" si="2"/>
        <v>N.A.</v>
      </c>
      <c r="M59" s="9"/>
    </row>
    <row r="60" spans="2:13" ht="24.75" thickBot="1">
      <c r="B60" s="838"/>
      <c r="C60" s="1090"/>
      <c r="D60" s="845" t="s">
        <v>2724</v>
      </c>
      <c r="E60" s="111">
        <f>+IF(E59="N.A.","N.A.",IF(E59&gt;=75%,1,0))</f>
        <v>0</v>
      </c>
      <c r="F60" s="111">
        <f t="shared" ref="F60:L60" si="3">+IF(F59="N.A.","N.A.",IF(F59&gt;=75%,1,0))</f>
        <v>0</v>
      </c>
      <c r="G60" s="111">
        <f t="shared" si="3"/>
        <v>0</v>
      </c>
      <c r="H60" s="111" t="str">
        <f t="shared" si="3"/>
        <v>N.A.</v>
      </c>
      <c r="I60" s="111" t="str">
        <f t="shared" si="3"/>
        <v>N.A.</v>
      </c>
      <c r="J60" s="111" t="str">
        <f t="shared" si="3"/>
        <v>N.A.</v>
      </c>
      <c r="K60" s="111" t="str">
        <f t="shared" si="3"/>
        <v>N.A.</v>
      </c>
      <c r="L60" s="111" t="str">
        <f t="shared" si="3"/>
        <v>N.A.</v>
      </c>
      <c r="M60" s="9"/>
    </row>
    <row r="61" spans="2:13" ht="51.75" customHeight="1" thickBot="1">
      <c r="B61" s="838"/>
      <c r="C61" s="857" t="s">
        <v>1717</v>
      </c>
      <c r="D61" s="845" t="s">
        <v>2710</v>
      </c>
      <c r="E61" s="1237" t="s">
        <v>2711</v>
      </c>
      <c r="F61" s="1238"/>
      <c r="G61" s="1238"/>
      <c r="H61" s="1238"/>
      <c r="I61" s="1238"/>
      <c r="J61" s="1238"/>
      <c r="K61" s="1238"/>
      <c r="L61" s="1239"/>
      <c r="M61" s="10"/>
    </row>
    <row r="62" spans="2:13">
      <c r="B62" s="838"/>
      <c r="C62" s="68"/>
      <c r="D62" s="1009"/>
      <c r="E62" s="1010"/>
      <c r="F62" s="1010"/>
      <c r="G62" s="1010"/>
      <c r="H62" s="1010"/>
      <c r="I62" s="1010"/>
      <c r="J62" s="1010"/>
      <c r="K62" s="1010"/>
      <c r="L62" s="1157"/>
      <c r="M62" s="1145"/>
    </row>
    <row r="63" spans="2:13" ht="15.75" thickBot="1">
      <c r="B63" s="838"/>
      <c r="C63" s="68"/>
      <c r="D63" s="1015" t="s">
        <v>2712</v>
      </c>
      <c r="E63" s="1016"/>
      <c r="F63" s="1016"/>
      <c r="G63" s="1016"/>
      <c r="H63" s="1016"/>
      <c r="I63" s="1016"/>
      <c r="J63" s="1016"/>
      <c r="K63" s="1016"/>
      <c r="L63" s="1158"/>
      <c r="M63" s="1146"/>
    </row>
    <row r="64" spans="2:13" ht="15.75" thickBot="1">
      <c r="B64" s="838"/>
      <c r="C64" s="878" t="s">
        <v>1402</v>
      </c>
      <c r="D64" s="842" t="s">
        <v>2713</v>
      </c>
      <c r="E64" s="878">
        <v>1</v>
      </c>
      <c r="F64" s="878">
        <v>1</v>
      </c>
      <c r="G64" s="878">
        <v>3</v>
      </c>
      <c r="H64" s="842" t="s">
        <v>1604</v>
      </c>
      <c r="I64" s="4"/>
      <c r="J64" s="4"/>
      <c r="K64" s="4"/>
      <c r="M64" s="11"/>
    </row>
    <row r="65" spans="2:13" ht="15.75" thickBot="1">
      <c r="B65" s="838"/>
      <c r="C65" s="857" t="s">
        <v>1719</v>
      </c>
      <c r="D65" s="845" t="s">
        <v>2715</v>
      </c>
      <c r="E65" s="67" t="s">
        <v>2725</v>
      </c>
      <c r="F65" s="32" t="s">
        <v>2726</v>
      </c>
      <c r="G65" s="32" t="s">
        <v>2727</v>
      </c>
      <c r="H65" s="112">
        <f>MAX(E64:G64)</f>
        <v>3</v>
      </c>
      <c r="I65" s="4"/>
      <c r="J65" s="4"/>
      <c r="K65" s="4"/>
      <c r="M65" s="11"/>
    </row>
    <row r="66" spans="2:13" ht="15.75" thickBot="1">
      <c r="B66" s="838"/>
      <c r="C66" s="857" t="s">
        <v>1721</v>
      </c>
      <c r="D66" s="845" t="s">
        <v>2716</v>
      </c>
      <c r="E66" s="5">
        <v>3</v>
      </c>
      <c r="F66" s="5"/>
      <c r="G66" s="5"/>
      <c r="H66" s="113">
        <f>SUM(E66:G66)</f>
        <v>3</v>
      </c>
      <c r="I66" s="4"/>
      <c r="J66" s="4"/>
      <c r="K66" s="4"/>
      <c r="M66" s="11"/>
    </row>
    <row r="67" spans="2:13" ht="36.75" thickBot="1">
      <c r="B67" s="838"/>
      <c r="C67" s="857" t="s">
        <v>1723</v>
      </c>
      <c r="D67" s="845" t="s">
        <v>2728</v>
      </c>
      <c r="E67" s="5">
        <v>0</v>
      </c>
      <c r="F67" s="5"/>
      <c r="G67" s="5"/>
      <c r="H67" s="113">
        <f>SUM(E67:G67)</f>
        <v>0</v>
      </c>
      <c r="I67" s="4"/>
      <c r="J67" s="4"/>
      <c r="K67" s="4"/>
      <c r="M67" s="11"/>
    </row>
    <row r="68" spans="2:13" ht="24.75" thickBot="1">
      <c r="B68" s="838"/>
      <c r="C68" s="1089" t="s">
        <v>2718</v>
      </c>
      <c r="D68" s="829" t="s">
        <v>2719</v>
      </c>
      <c r="E68" s="110">
        <f>+E67/E66</f>
        <v>0</v>
      </c>
      <c r="F68" s="110" t="e">
        <f>+F67/F66</f>
        <v>#DIV/0!</v>
      </c>
      <c r="G68" s="110" t="e">
        <f>+G67/G66</f>
        <v>#DIV/0!</v>
      </c>
      <c r="H68" s="114"/>
      <c r="I68" s="4"/>
      <c r="J68" s="4"/>
      <c r="K68" s="4"/>
      <c r="M68" s="11"/>
    </row>
    <row r="69" spans="2:13" ht="24.75" thickBot="1">
      <c r="B69" s="838"/>
      <c r="C69" s="1090"/>
      <c r="D69" s="845" t="s">
        <v>2720</v>
      </c>
      <c r="E69" s="111">
        <f>+IF(E68&gt;=75%,1,0)</f>
        <v>0</v>
      </c>
      <c r="F69" s="111" t="e">
        <f>+IF(F68&gt;=75%,1,0)</f>
        <v>#DIV/0!</v>
      </c>
      <c r="G69" s="111" t="e">
        <f>+IF(G68&gt;=75%,1,0)</f>
        <v>#DIV/0!</v>
      </c>
      <c r="H69" s="113" t="e">
        <f>SUM(E69:G69)</f>
        <v>#DIV/0!</v>
      </c>
      <c r="I69" s="4"/>
      <c r="J69" s="4"/>
      <c r="K69" s="4"/>
      <c r="M69" s="11"/>
    </row>
    <row r="70" spans="2:13" ht="15.75" thickBot="1">
      <c r="B70" s="838"/>
      <c r="C70" s="857" t="s">
        <v>2721</v>
      </c>
      <c r="D70" s="1041" t="s">
        <v>2722</v>
      </c>
      <c r="E70" s="1042"/>
      <c r="F70" s="1042"/>
      <c r="G70" s="1043"/>
      <c r="H70" s="809" t="str">
        <f>IFERROR(H69/H65,"N.A.")</f>
        <v>N.A.</v>
      </c>
      <c r="I70" s="4"/>
      <c r="J70" s="4"/>
      <c r="K70" s="4"/>
      <c r="M70" s="11"/>
    </row>
    <row r="71" spans="2:13">
      <c r="B71" s="838"/>
      <c r="C71" s="68"/>
      <c r="D71" s="1015"/>
      <c r="E71" s="1016"/>
      <c r="F71" s="1016"/>
      <c r="G71" s="1016"/>
      <c r="H71" s="1016"/>
      <c r="I71" s="1016"/>
      <c r="J71" s="1016"/>
      <c r="K71" s="1016"/>
      <c r="L71" s="1158"/>
      <c r="M71" s="1146"/>
    </row>
    <row r="72" spans="2:13" ht="15.75" thickBot="1">
      <c r="B72" s="838"/>
      <c r="C72" s="68"/>
      <c r="D72" s="1012" t="s">
        <v>2729</v>
      </c>
      <c r="E72" s="1013"/>
      <c r="F72" s="1013"/>
      <c r="G72" s="1013"/>
      <c r="H72" s="1013"/>
      <c r="I72" s="1013"/>
      <c r="J72" s="1013"/>
      <c r="K72" s="1013"/>
      <c r="L72" s="1159"/>
      <c r="M72" s="1147"/>
    </row>
    <row r="73" spans="2:13" ht="15.75" thickBot="1">
      <c r="B73" s="838"/>
      <c r="C73" s="878" t="s">
        <v>2730</v>
      </c>
      <c r="D73" s="872" t="s">
        <v>2731</v>
      </c>
      <c r="E73" s="115">
        <f>+H48</f>
        <v>0</v>
      </c>
      <c r="F73" s="4"/>
      <c r="G73" s="4"/>
      <c r="H73" s="4"/>
      <c r="I73" s="4"/>
      <c r="J73" s="4"/>
      <c r="K73" s="4"/>
      <c r="M73" s="11"/>
    </row>
    <row r="74" spans="2:13" ht="15.75" thickBot="1">
      <c r="B74" s="838"/>
      <c r="C74" s="857" t="s">
        <v>2732</v>
      </c>
      <c r="D74" s="32" t="s">
        <v>2733</v>
      </c>
      <c r="E74" s="116" t="str">
        <f>+H70</f>
        <v>N.A.</v>
      </c>
      <c r="F74" s="4"/>
      <c r="G74" s="4"/>
      <c r="H74" s="4"/>
      <c r="I74" s="4"/>
      <c r="J74" s="4"/>
      <c r="K74" s="4"/>
      <c r="M74" s="11"/>
    </row>
    <row r="75" spans="2:13" ht="36.75" thickBot="1">
      <c r="B75" s="838"/>
      <c r="C75" s="857" t="s">
        <v>1402</v>
      </c>
      <c r="D75" s="845" t="s">
        <v>2734</v>
      </c>
      <c r="E75" s="116">
        <f>AVERAGE(E73:E74)</f>
        <v>0</v>
      </c>
      <c r="F75" s="4"/>
      <c r="G75" s="4"/>
      <c r="H75" s="4"/>
      <c r="I75" s="4"/>
      <c r="J75" s="4"/>
      <c r="K75" s="4"/>
      <c r="M75" s="11"/>
    </row>
    <row r="76" spans="2:13">
      <c r="B76" s="838"/>
      <c r="C76" s="68"/>
      <c r="D76" s="1015"/>
      <c r="E76" s="1016"/>
      <c r="F76" s="1016"/>
      <c r="G76" s="1016"/>
      <c r="H76" s="1016"/>
      <c r="I76" s="1016"/>
      <c r="J76" s="1016"/>
      <c r="K76" s="1016"/>
      <c r="L76" s="1158"/>
      <c r="M76" s="1146"/>
    </row>
    <row r="77" spans="2:13" ht="15.75" thickBot="1">
      <c r="B77" s="838"/>
      <c r="C77" s="68"/>
      <c r="D77" s="1012" t="s">
        <v>2735</v>
      </c>
      <c r="E77" s="1013"/>
      <c r="F77" s="1013"/>
      <c r="G77" s="1013"/>
      <c r="H77" s="1013"/>
      <c r="I77" s="1013"/>
      <c r="J77" s="1013"/>
      <c r="K77" s="1013"/>
      <c r="L77" s="1159"/>
      <c r="M77" s="1147"/>
    </row>
    <row r="78" spans="2:13" ht="15.75" thickBot="1">
      <c r="B78" s="838"/>
      <c r="C78" s="890"/>
      <c r="D78" s="20"/>
      <c r="E78" s="872" t="s">
        <v>2736</v>
      </c>
      <c r="F78" s="872" t="s">
        <v>1947</v>
      </c>
      <c r="H78" s="4"/>
      <c r="I78" s="4"/>
      <c r="J78" s="4"/>
      <c r="K78" s="4"/>
      <c r="M78" s="11"/>
    </row>
    <row r="79" spans="2:13" ht="24.75" thickBot="1">
      <c r="B79" s="838"/>
      <c r="C79" s="890"/>
      <c r="D79" s="845" t="s">
        <v>2737</v>
      </c>
      <c r="E79" s="104" t="e">
        <f>+E25</f>
        <v>#DIV/0!</v>
      </c>
      <c r="F79" s="26">
        <v>0</v>
      </c>
      <c r="G79" s="4"/>
      <c r="H79" s="4"/>
      <c r="I79" s="4"/>
      <c r="J79" s="4"/>
      <c r="K79" s="4"/>
      <c r="M79" s="11"/>
    </row>
    <row r="80" spans="2:13" ht="24.75" thickBot="1">
      <c r="B80" s="838"/>
      <c r="C80" s="890"/>
      <c r="D80" s="845" t="s">
        <v>2738</v>
      </c>
      <c r="E80" s="104">
        <f>+E75</f>
        <v>0</v>
      </c>
      <c r="F80" s="26">
        <v>1</v>
      </c>
      <c r="G80" s="4"/>
      <c r="H80" s="4"/>
      <c r="I80" s="4"/>
      <c r="J80" s="4"/>
      <c r="K80" s="4"/>
      <c r="M80" s="11"/>
    </row>
    <row r="81" spans="2:13" ht="34.5" thickBot="1">
      <c r="B81" s="839"/>
      <c r="C81" s="857"/>
      <c r="D81" s="845" t="s">
        <v>760</v>
      </c>
      <c r="E81" s="810" t="str">
        <f>[2]Formulas!$D$29</f>
        <v>ERROR: LA SUMA DE LAS PONDERACIONES DEBE SER 100%</v>
      </c>
      <c r="F81" s="154">
        <f>IFERROR([2]Formulas!$E$29,0)</f>
        <v>0</v>
      </c>
      <c r="G81" s="18"/>
      <c r="H81" s="18"/>
      <c r="I81" s="18"/>
      <c r="J81" s="18"/>
      <c r="K81" s="18"/>
      <c r="L81" s="12"/>
      <c r="M81" s="8"/>
    </row>
    <row r="82" spans="2:13" ht="24" customHeight="1" thickBot="1">
      <c r="B82" s="839" t="s">
        <v>1504</v>
      </c>
      <c r="C82" s="69"/>
      <c r="D82" s="1041" t="s">
        <v>2739</v>
      </c>
      <c r="E82" s="1042"/>
      <c r="F82" s="1042"/>
      <c r="G82" s="1042"/>
      <c r="H82" s="1042"/>
      <c r="I82" s="1042"/>
      <c r="J82" s="1042"/>
      <c r="K82" s="1042"/>
      <c r="L82" s="1156"/>
      <c r="M82" s="1149"/>
    </row>
    <row r="83" spans="2:13" ht="24.75" thickBot="1">
      <c r="B83" s="839" t="s">
        <v>1506</v>
      </c>
      <c r="C83" s="69"/>
      <c r="D83" s="1041" t="s">
        <v>1613</v>
      </c>
      <c r="E83" s="1042"/>
      <c r="F83" s="1042"/>
      <c r="G83" s="1042"/>
      <c r="H83" s="1042"/>
      <c r="I83" s="1042"/>
      <c r="J83" s="1042"/>
      <c r="K83" s="1042"/>
      <c r="L83" s="1156"/>
      <c r="M83" s="1149"/>
    </row>
    <row r="84" spans="2:13" ht="15.75" thickBot="1">
      <c r="B84" s="1"/>
      <c r="C84" s="55"/>
      <c r="D84" s="4"/>
      <c r="E84" s="4"/>
      <c r="F84" s="4"/>
      <c r="G84" s="4"/>
      <c r="H84" s="4"/>
      <c r="I84" s="4"/>
      <c r="J84" s="4"/>
      <c r="K84" s="4"/>
    </row>
    <row r="85" spans="2:13" ht="24" customHeight="1" thickBot="1">
      <c r="B85" s="1029" t="s">
        <v>1508</v>
      </c>
      <c r="C85" s="1030"/>
      <c r="D85" s="1030"/>
      <c r="E85" s="1031"/>
      <c r="F85" s="4"/>
      <c r="G85" s="4"/>
      <c r="H85" s="4"/>
      <c r="I85" s="4"/>
      <c r="J85" s="4"/>
      <c r="K85" s="4"/>
    </row>
    <row r="86" spans="2:13" ht="15.75" thickBot="1">
      <c r="B86" s="1032">
        <v>1</v>
      </c>
      <c r="C86" s="890"/>
      <c r="D86" s="37" t="s">
        <v>1509</v>
      </c>
      <c r="E86" s="121" t="s">
        <v>1510</v>
      </c>
      <c r="F86" s="4"/>
      <c r="G86" s="4"/>
      <c r="H86" s="4"/>
      <c r="I86" s="4"/>
      <c r="J86" s="4"/>
      <c r="K86" s="4"/>
    </row>
    <row r="87" spans="2:13" ht="36.75" thickBot="1">
      <c r="B87" s="1033"/>
      <c r="C87" s="890"/>
      <c r="D87" s="845" t="s">
        <v>10</v>
      </c>
      <c r="E87" s="275" t="s">
        <v>2626</v>
      </c>
      <c r="F87" s="4"/>
      <c r="G87" s="4"/>
      <c r="H87" s="4"/>
      <c r="I87" s="4"/>
      <c r="J87" s="4"/>
      <c r="K87" s="4"/>
    </row>
    <row r="88" spans="2:13" ht="15.75" thickBot="1">
      <c r="B88" s="1033"/>
      <c r="C88" s="890"/>
      <c r="D88" s="845" t="s">
        <v>1512</v>
      </c>
      <c r="E88" s="275" t="s">
        <v>1691</v>
      </c>
      <c r="F88" s="4"/>
      <c r="G88" s="4"/>
      <c r="H88" s="4"/>
      <c r="I88" s="4"/>
      <c r="J88" s="4"/>
      <c r="K88" s="4"/>
    </row>
    <row r="89" spans="2:13" ht="15.75" thickBot="1">
      <c r="B89" s="1033"/>
      <c r="C89" s="890"/>
      <c r="D89" s="845" t="s">
        <v>13</v>
      </c>
      <c r="E89" s="121" t="s">
        <v>1514</v>
      </c>
      <c r="F89" s="4"/>
      <c r="G89" s="4"/>
      <c r="H89" s="4"/>
      <c r="I89" s="4"/>
      <c r="J89" s="4"/>
      <c r="K89" s="4"/>
    </row>
    <row r="90" spans="2:13" ht="30.75" thickBot="1">
      <c r="B90" s="1033"/>
      <c r="C90" s="890"/>
      <c r="D90" s="845" t="s">
        <v>16</v>
      </c>
      <c r="E90" s="709" t="s">
        <v>1646</v>
      </c>
      <c r="F90" s="4"/>
      <c r="G90" s="4"/>
      <c r="H90" s="4"/>
      <c r="I90" s="4"/>
      <c r="J90" s="4"/>
      <c r="K90" s="4"/>
    </row>
    <row r="91" spans="2:13" ht="15.75" thickBot="1">
      <c r="B91" s="1033"/>
      <c r="C91" s="890"/>
      <c r="D91" s="845" t="s">
        <v>19</v>
      </c>
      <c r="E91" s="275" t="s">
        <v>1647</v>
      </c>
      <c r="F91" s="4"/>
      <c r="G91" s="4"/>
      <c r="H91" s="4"/>
      <c r="I91" s="4"/>
      <c r="J91" s="4"/>
      <c r="K91" s="4"/>
    </row>
    <row r="92" spans="2:13" ht="24.75" thickBot="1">
      <c r="B92" s="1034"/>
      <c r="C92" s="857"/>
      <c r="D92" s="845" t="s">
        <v>1516</v>
      </c>
      <c r="E92" s="275" t="s">
        <v>1517</v>
      </c>
      <c r="F92" s="4"/>
      <c r="G92" s="4"/>
      <c r="H92" s="4"/>
      <c r="I92" s="4"/>
      <c r="J92" s="4"/>
      <c r="K92" s="4"/>
    </row>
    <row r="93" spans="2:13" ht="15.75" thickBot="1">
      <c r="B93" s="1"/>
      <c r="C93" s="55"/>
      <c r="D93" s="4"/>
      <c r="E93" s="4"/>
      <c r="F93" s="4"/>
      <c r="G93" s="4"/>
      <c r="H93" s="4"/>
      <c r="I93" s="4"/>
      <c r="J93" s="4"/>
      <c r="K93" s="4"/>
    </row>
    <row r="94" spans="2:13" ht="15.75" thickBot="1">
      <c r="B94" s="1029" t="s">
        <v>1518</v>
      </c>
      <c r="C94" s="1030"/>
      <c r="D94" s="1030"/>
      <c r="E94" s="1031"/>
      <c r="F94" s="4"/>
      <c r="G94" s="4"/>
      <c r="H94" s="4"/>
      <c r="I94" s="4"/>
      <c r="J94" s="4"/>
      <c r="K94" s="4"/>
    </row>
    <row r="95" spans="2:13" ht="15.75" thickBot="1">
      <c r="B95" s="1032">
        <v>1</v>
      </c>
      <c r="C95" s="890"/>
      <c r="D95" s="37" t="s">
        <v>1509</v>
      </c>
      <c r="E95" s="299" t="s">
        <v>1519</v>
      </c>
      <c r="F95" s="4"/>
      <c r="G95" s="4"/>
      <c r="H95" s="4"/>
      <c r="I95" s="4"/>
      <c r="J95" s="4"/>
      <c r="K95" s="4"/>
    </row>
    <row r="96" spans="2:13" ht="15.75" thickBot="1">
      <c r="B96" s="1033"/>
      <c r="C96" s="890"/>
      <c r="D96" s="845" t="s">
        <v>10</v>
      </c>
      <c r="E96" s="299" t="s">
        <v>1616</v>
      </c>
      <c r="F96" s="4"/>
      <c r="G96" s="4"/>
      <c r="H96" s="4"/>
      <c r="I96" s="4"/>
      <c r="J96" s="4"/>
      <c r="K96" s="4"/>
    </row>
    <row r="97" spans="2:11" ht="15.75" thickBot="1">
      <c r="B97" s="1033"/>
      <c r="C97" s="890"/>
      <c r="D97" s="845" t="s">
        <v>1512</v>
      </c>
      <c r="E97" s="126"/>
      <c r="F97" s="4"/>
      <c r="G97" s="4"/>
      <c r="H97" s="4"/>
      <c r="I97" s="4"/>
      <c r="J97" s="4"/>
      <c r="K97" s="4"/>
    </row>
    <row r="98" spans="2:11" ht="15.75" thickBot="1">
      <c r="B98" s="1033"/>
      <c r="C98" s="890"/>
      <c r="D98" s="845" t="s">
        <v>13</v>
      </c>
      <c r="E98" s="126"/>
      <c r="F98" s="4"/>
      <c r="G98" s="4"/>
      <c r="H98" s="4"/>
      <c r="I98" s="4"/>
      <c r="J98" s="4"/>
      <c r="K98" s="4"/>
    </row>
    <row r="99" spans="2:11" ht="15.75" thickBot="1">
      <c r="B99" s="1033"/>
      <c r="C99" s="890"/>
      <c r="D99" s="845" t="s">
        <v>16</v>
      </c>
      <c r="E99" s="126"/>
      <c r="F99" s="4"/>
      <c r="G99" s="4"/>
      <c r="H99" s="4"/>
      <c r="I99" s="4"/>
      <c r="J99" s="4"/>
      <c r="K99" s="4"/>
    </row>
    <row r="100" spans="2:11" ht="15.75" thickBot="1">
      <c r="B100" s="1033"/>
      <c r="C100" s="890"/>
      <c r="D100" s="845" t="s">
        <v>19</v>
      </c>
      <c r="E100" s="126"/>
      <c r="F100" s="4"/>
      <c r="G100" s="4"/>
      <c r="H100" s="4"/>
      <c r="I100" s="4"/>
      <c r="J100" s="4"/>
      <c r="K100" s="4"/>
    </row>
    <row r="101" spans="2:11" ht="15.75" thickBot="1">
      <c r="B101" s="1034"/>
      <c r="C101" s="857"/>
      <c r="D101" s="845" t="s">
        <v>1516</v>
      </c>
      <c r="E101" s="126"/>
      <c r="F101" s="4"/>
      <c r="G101" s="4"/>
      <c r="H101" s="4"/>
      <c r="I101" s="4"/>
      <c r="J101" s="4"/>
      <c r="K101" s="4"/>
    </row>
    <row r="102" spans="2:11" ht="15.75" thickBot="1">
      <c r="B102" s="1"/>
      <c r="C102" s="55"/>
      <c r="D102" s="4"/>
      <c r="E102" s="4"/>
      <c r="F102" s="4"/>
      <c r="G102" s="4"/>
      <c r="H102" s="4"/>
      <c r="I102" s="4"/>
      <c r="J102" s="4"/>
      <c r="K102" s="4"/>
    </row>
    <row r="103" spans="2:11" ht="15" customHeight="1" thickBot="1">
      <c r="B103" s="846" t="s">
        <v>1521</v>
      </c>
      <c r="C103" s="847"/>
      <c r="D103" s="847"/>
      <c r="E103" s="848"/>
      <c r="G103" s="4"/>
      <c r="H103" s="4"/>
      <c r="I103" s="4"/>
      <c r="J103" s="4"/>
      <c r="K103" s="4"/>
    </row>
    <row r="104" spans="2:11" ht="24.75" thickBot="1">
      <c r="B104" s="839" t="s">
        <v>1522</v>
      </c>
      <c r="C104" s="845" t="s">
        <v>1523</v>
      </c>
      <c r="D104" s="845" t="s">
        <v>1524</v>
      </c>
      <c r="E104" s="845" t="s">
        <v>1525</v>
      </c>
      <c r="F104" s="4"/>
      <c r="G104" s="4"/>
      <c r="H104" s="4"/>
      <c r="I104" s="4"/>
      <c r="J104" s="4"/>
    </row>
    <row r="105" spans="2:11" ht="72.75" thickBot="1">
      <c r="B105" s="38">
        <v>42401</v>
      </c>
      <c r="C105" s="845">
        <v>1</v>
      </c>
      <c r="D105" s="837" t="s">
        <v>2740</v>
      </c>
      <c r="E105" s="845"/>
      <c r="F105" s="4"/>
      <c r="G105" s="4"/>
      <c r="H105" s="4"/>
      <c r="I105" s="4"/>
      <c r="J105" s="4"/>
    </row>
    <row r="106" spans="2:11" ht="15.75" thickBot="1">
      <c r="B106" s="2"/>
      <c r="C106" s="70"/>
      <c r="D106" s="4"/>
      <c r="E106" s="4"/>
      <c r="F106" s="4"/>
      <c r="G106" s="4"/>
      <c r="H106" s="4"/>
      <c r="I106" s="4"/>
      <c r="J106" s="4"/>
      <c r="K106" s="4"/>
    </row>
    <row r="107" spans="2:11" ht="15.75" thickBot="1">
      <c r="B107" s="879" t="s">
        <v>1406</v>
      </c>
      <c r="C107" s="705"/>
      <c r="D107" s="4"/>
      <c r="E107" s="4"/>
      <c r="F107" s="4"/>
      <c r="G107" s="4"/>
      <c r="H107" s="4"/>
      <c r="I107" s="4"/>
      <c r="J107" s="4"/>
      <c r="K107" s="4"/>
    </row>
    <row r="108" spans="2:11">
      <c r="B108" s="1211"/>
      <c r="C108" s="1212"/>
      <c r="D108" s="1212"/>
      <c r="E108" s="1212"/>
      <c r="F108" s="1212"/>
      <c r="G108" s="1212"/>
      <c r="H108" s="1212"/>
      <c r="I108" s="1213"/>
      <c r="J108" s="4"/>
      <c r="K108" s="4"/>
    </row>
    <row r="109" spans="2:11" ht="15.75" thickBot="1">
      <c r="B109" s="1214"/>
      <c r="C109" s="1215"/>
      <c r="D109" s="1215"/>
      <c r="E109" s="1215"/>
      <c r="F109" s="1215"/>
      <c r="G109" s="1215"/>
      <c r="H109" s="1215"/>
      <c r="I109" s="1216"/>
      <c r="J109" s="4"/>
      <c r="K109" s="4"/>
    </row>
    <row r="110" spans="2:11" ht="15.75" thickBot="1">
      <c r="B110" s="4"/>
      <c r="D110" s="4"/>
      <c r="E110" s="4"/>
      <c r="F110" s="4"/>
      <c r="G110" s="4"/>
      <c r="H110" s="4"/>
      <c r="I110" s="4"/>
      <c r="J110" s="4"/>
      <c r="K110" s="4"/>
    </row>
    <row r="111" spans="2:11" ht="24.75" thickBot="1">
      <c r="B111" s="39" t="s">
        <v>1527</v>
      </c>
      <c r="C111" s="708"/>
      <c r="D111" s="4"/>
      <c r="E111" s="4"/>
      <c r="F111" s="4"/>
      <c r="G111" s="4"/>
      <c r="H111" s="4"/>
      <c r="I111" s="4"/>
      <c r="J111" s="4"/>
      <c r="K111" s="4"/>
    </row>
    <row r="112" spans="2:11" ht="15.75" thickBot="1">
      <c r="B112" s="1"/>
      <c r="C112" s="55"/>
      <c r="D112" s="4"/>
      <c r="E112" s="4"/>
      <c r="F112" s="4"/>
      <c r="G112" s="4"/>
      <c r="H112" s="4"/>
      <c r="I112" s="4"/>
      <c r="J112" s="4"/>
      <c r="K112" s="4"/>
    </row>
    <row r="113" spans="2:11" ht="72.75" thickBot="1">
      <c r="B113" s="40" t="s">
        <v>1528</v>
      </c>
      <c r="C113" s="878"/>
      <c r="D113" s="842" t="s">
        <v>2741</v>
      </c>
      <c r="E113" s="4"/>
      <c r="F113" s="4"/>
      <c r="G113" s="4"/>
      <c r="H113" s="4"/>
      <c r="I113" s="4"/>
      <c r="J113" s="4"/>
      <c r="K113" s="4"/>
    </row>
    <row r="114" spans="2:11">
      <c r="B114" s="1032" t="s">
        <v>1530</v>
      </c>
      <c r="C114" s="890"/>
      <c r="D114" s="836" t="s">
        <v>1531</v>
      </c>
      <c r="E114" s="4"/>
      <c r="F114" s="4"/>
      <c r="G114" s="4"/>
      <c r="H114" s="4"/>
      <c r="I114" s="4"/>
      <c r="J114" s="4"/>
      <c r="K114" s="4"/>
    </row>
    <row r="115" spans="2:11" ht="108">
      <c r="B115" s="1033"/>
      <c r="C115" s="890"/>
      <c r="D115" s="829" t="s">
        <v>2742</v>
      </c>
      <c r="E115" s="4"/>
      <c r="F115" s="4"/>
      <c r="G115" s="4"/>
      <c r="H115" s="4"/>
      <c r="I115" s="4"/>
      <c r="J115" s="4"/>
      <c r="K115" s="4"/>
    </row>
    <row r="116" spans="2:11">
      <c r="B116" s="1033"/>
      <c r="C116" s="890"/>
      <c r="D116" s="836" t="s">
        <v>1620</v>
      </c>
      <c r="E116" s="4"/>
      <c r="F116" s="4"/>
      <c r="G116" s="4"/>
      <c r="H116" s="4"/>
      <c r="I116" s="4"/>
      <c r="J116" s="4"/>
      <c r="K116" s="4"/>
    </row>
    <row r="117" spans="2:11">
      <c r="B117" s="1033"/>
      <c r="C117" s="890"/>
      <c r="D117" s="829" t="s">
        <v>2743</v>
      </c>
      <c r="E117" s="4"/>
      <c r="F117" s="4"/>
      <c r="G117" s="4"/>
      <c r="H117" s="4"/>
      <c r="I117" s="4"/>
      <c r="J117" s="4"/>
      <c r="K117" s="4"/>
    </row>
    <row r="118" spans="2:11" ht="48">
      <c r="B118" s="1033"/>
      <c r="C118" s="890"/>
      <c r="D118" s="829" t="s">
        <v>2744</v>
      </c>
      <c r="E118" s="4"/>
      <c r="F118" s="4"/>
      <c r="G118" s="4"/>
      <c r="H118" s="4"/>
      <c r="I118" s="4"/>
      <c r="J118" s="4"/>
      <c r="K118" s="4"/>
    </row>
    <row r="119" spans="2:11">
      <c r="B119" s="1033"/>
      <c r="C119" s="890"/>
      <c r="D119" s="42" t="s">
        <v>2745</v>
      </c>
      <c r="E119" s="4"/>
      <c r="F119" s="4"/>
      <c r="G119" s="4"/>
      <c r="H119" s="4"/>
      <c r="I119" s="4"/>
      <c r="J119" s="4"/>
      <c r="K119" s="4"/>
    </row>
    <row r="120" spans="2:11" ht="15.75" thickBot="1">
      <c r="B120" s="1034"/>
      <c r="C120" s="857"/>
      <c r="D120" s="43" t="s">
        <v>2746</v>
      </c>
      <c r="E120" s="4"/>
      <c r="F120" s="4"/>
      <c r="G120" s="4"/>
      <c r="H120" s="4"/>
      <c r="I120" s="4"/>
      <c r="J120" s="4"/>
      <c r="K120" s="4"/>
    </row>
    <row r="121" spans="2:11" ht="24.75" thickBot="1">
      <c r="B121" s="839" t="s">
        <v>1543</v>
      </c>
      <c r="C121" s="857"/>
      <c r="D121" s="845"/>
      <c r="E121" s="4"/>
      <c r="F121" s="4"/>
      <c r="G121" s="4"/>
      <c r="H121" s="4"/>
      <c r="I121" s="4"/>
      <c r="J121" s="4"/>
      <c r="K121" s="4"/>
    </row>
    <row r="122" spans="2:11" ht="72">
      <c r="B122" s="1032" t="s">
        <v>1544</v>
      </c>
      <c r="C122" s="890"/>
      <c r="D122" s="829" t="s">
        <v>2747</v>
      </c>
      <c r="E122" s="4"/>
      <c r="F122" s="4"/>
      <c r="G122" s="4"/>
      <c r="H122" s="4"/>
      <c r="I122" s="4"/>
      <c r="J122" s="4"/>
      <c r="K122" s="4"/>
    </row>
    <row r="123" spans="2:11" ht="228">
      <c r="B123" s="1033"/>
      <c r="C123" s="890"/>
      <c r="D123" s="829" t="s">
        <v>2748</v>
      </c>
      <c r="E123" s="4"/>
      <c r="F123" s="4"/>
      <c r="G123" s="4"/>
      <c r="H123" s="4"/>
      <c r="I123" s="4"/>
      <c r="J123" s="4"/>
      <c r="K123" s="4"/>
    </row>
    <row r="124" spans="2:11" ht="84">
      <c r="B124" s="1033"/>
      <c r="C124" s="890"/>
      <c r="D124" s="829" t="s">
        <v>2749</v>
      </c>
      <c r="E124" s="4"/>
      <c r="F124" s="4"/>
      <c r="G124" s="4"/>
      <c r="H124" s="4"/>
      <c r="I124" s="4"/>
      <c r="J124" s="4"/>
      <c r="K124" s="4"/>
    </row>
    <row r="125" spans="2:11" ht="216.75" thickBot="1">
      <c r="B125" s="1034"/>
      <c r="C125" s="857"/>
      <c r="D125" s="845" t="s">
        <v>2750</v>
      </c>
      <c r="E125" s="4"/>
      <c r="F125" s="4"/>
      <c r="G125" s="4"/>
      <c r="H125" s="4"/>
      <c r="I125" s="4"/>
      <c r="J125" s="4"/>
      <c r="K125" s="4"/>
    </row>
    <row r="126" spans="2:11">
      <c r="B126" s="1032" t="s">
        <v>1561</v>
      </c>
      <c r="C126" s="890"/>
      <c r="D126" s="829"/>
      <c r="E126" s="4"/>
      <c r="F126" s="4"/>
      <c r="G126" s="4"/>
      <c r="H126" s="4"/>
      <c r="I126" s="4"/>
      <c r="J126" s="4"/>
      <c r="K126" s="4"/>
    </row>
    <row r="127" spans="2:11">
      <c r="B127" s="1033"/>
      <c r="C127" s="890"/>
      <c r="D127" s="826"/>
      <c r="E127" s="4"/>
      <c r="F127" s="4"/>
      <c r="G127" s="4"/>
      <c r="H127" s="4"/>
      <c r="I127" s="4"/>
      <c r="J127" s="4"/>
      <c r="K127" s="4"/>
    </row>
    <row r="128" spans="2:11">
      <c r="B128" s="1033"/>
      <c r="C128" s="890"/>
      <c r="D128" s="829" t="s">
        <v>1562</v>
      </c>
      <c r="E128" s="4"/>
      <c r="F128" s="4"/>
      <c r="G128" s="4"/>
      <c r="H128" s="4"/>
      <c r="I128" s="4"/>
      <c r="J128" s="4"/>
      <c r="K128" s="4"/>
    </row>
    <row r="129" spans="2:11" ht="37.5">
      <c r="B129" s="1033"/>
      <c r="C129" s="890"/>
      <c r="D129" s="829" t="s">
        <v>2751</v>
      </c>
      <c r="E129" s="4"/>
      <c r="F129" s="4"/>
      <c r="G129" s="4"/>
      <c r="H129" s="4"/>
      <c r="I129" s="4"/>
      <c r="J129" s="4"/>
      <c r="K129" s="4"/>
    </row>
    <row r="130" spans="2:11" ht="37.5">
      <c r="B130" s="1033"/>
      <c r="C130" s="890"/>
      <c r="D130" s="829" t="s">
        <v>2752</v>
      </c>
      <c r="E130" s="4"/>
      <c r="F130" s="4"/>
      <c r="G130" s="4"/>
      <c r="H130" s="4"/>
      <c r="I130" s="4"/>
      <c r="J130" s="4"/>
      <c r="K130" s="4"/>
    </row>
    <row r="131" spans="2:11" ht="37.5">
      <c r="B131" s="1033"/>
      <c r="C131" s="890"/>
      <c r="D131" s="829" t="s">
        <v>2753</v>
      </c>
      <c r="E131" s="4"/>
      <c r="F131" s="4"/>
      <c r="G131" s="4"/>
      <c r="H131" s="4"/>
      <c r="I131" s="4"/>
      <c r="J131" s="4"/>
      <c r="K131" s="4"/>
    </row>
    <row r="132" spans="2:11" ht="37.5">
      <c r="B132" s="1033"/>
      <c r="C132" s="890"/>
      <c r="D132" s="829" t="s">
        <v>2754</v>
      </c>
      <c r="E132" s="4"/>
      <c r="F132" s="4"/>
      <c r="G132" s="4"/>
      <c r="H132" s="4"/>
      <c r="I132" s="4"/>
      <c r="J132" s="4"/>
      <c r="K132" s="4"/>
    </row>
    <row r="133" spans="2:11">
      <c r="B133" s="1033"/>
      <c r="C133" s="890"/>
      <c r="D133" s="829" t="s">
        <v>2755</v>
      </c>
      <c r="E133" s="4"/>
      <c r="F133" s="4"/>
      <c r="G133" s="4"/>
      <c r="H133" s="4"/>
      <c r="I133" s="4"/>
      <c r="J133" s="4"/>
      <c r="K133" s="4"/>
    </row>
    <row r="134" spans="2:11">
      <c r="B134" s="1033"/>
      <c r="C134" s="890"/>
      <c r="D134" s="829" t="s">
        <v>2756</v>
      </c>
      <c r="E134" s="4"/>
      <c r="F134" s="4"/>
      <c r="G134" s="4"/>
      <c r="H134" s="4"/>
      <c r="I134" s="4"/>
      <c r="J134" s="4"/>
      <c r="K134" s="4"/>
    </row>
    <row r="135" spans="2:11">
      <c r="B135" s="1033"/>
      <c r="C135" s="890"/>
      <c r="D135" s="829" t="s">
        <v>2757</v>
      </c>
      <c r="E135" s="4"/>
      <c r="F135" s="4"/>
      <c r="G135" s="4"/>
      <c r="H135" s="4"/>
      <c r="I135" s="4"/>
      <c r="J135" s="4"/>
      <c r="K135" s="4"/>
    </row>
    <row r="136" spans="2:11">
      <c r="B136" s="1033"/>
      <c r="C136" s="890"/>
      <c r="D136" s="829" t="s">
        <v>1570</v>
      </c>
      <c r="E136" s="4"/>
      <c r="F136" s="4"/>
      <c r="G136" s="4"/>
      <c r="H136" s="4"/>
      <c r="I136" s="4"/>
      <c r="J136" s="4"/>
      <c r="K136" s="4"/>
    </row>
    <row r="137" spans="2:11" ht="60.75" thickBot="1">
      <c r="B137" s="1034"/>
      <c r="C137" s="857"/>
      <c r="D137" s="845" t="s">
        <v>2758</v>
      </c>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sheetData>
  <sheetProtection insertColumns="0" insertRows="0"/>
  <mergeCells count="50">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 ref="E18:F18"/>
    <mergeCell ref="D62:M62"/>
    <mergeCell ref="D48:G48"/>
    <mergeCell ref="C59:C60"/>
    <mergeCell ref="D49:M49"/>
    <mergeCell ref="D53:M53"/>
    <mergeCell ref="I18:J18"/>
    <mergeCell ref="C37:C38"/>
    <mergeCell ref="G18:H18"/>
    <mergeCell ref="D21:M21"/>
    <mergeCell ref="C46:C47"/>
    <mergeCell ref="E39:L39"/>
    <mergeCell ref="E61:L61"/>
    <mergeCell ref="D77:M77"/>
    <mergeCell ref="B114:B120"/>
    <mergeCell ref="B122:B125"/>
    <mergeCell ref="B126:B137"/>
    <mergeCell ref="D82:M82"/>
    <mergeCell ref="D76:M76"/>
    <mergeCell ref="D70:G70"/>
    <mergeCell ref="C68:C69"/>
    <mergeCell ref="D63:M63"/>
    <mergeCell ref="D71:M71"/>
    <mergeCell ref="D72:M72"/>
    <mergeCell ref="B10:D10"/>
    <mergeCell ref="F10:S10"/>
    <mergeCell ref="F11:S11"/>
    <mergeCell ref="E12:R12"/>
    <mergeCell ref="E13:R13"/>
    <mergeCell ref="A1:P1"/>
    <mergeCell ref="A2:P2"/>
    <mergeCell ref="A3:P3"/>
    <mergeCell ref="A4:D4"/>
    <mergeCell ref="A5:P5"/>
  </mergeCells>
  <conditionalFormatting sqref="E81">
    <cfRule type="containsText" dxfId="25" priority="5" operator="containsText" text="ERROR">
      <formula>NOT(ISERROR(SEARCH("ERROR",E81)))</formula>
    </cfRule>
  </conditionalFormatting>
  <conditionalFormatting sqref="F10">
    <cfRule type="notContainsBlanks" dxfId="24" priority="4">
      <formula>LEN(TRIM(F10))&gt;0</formula>
    </cfRule>
  </conditionalFormatting>
  <conditionalFormatting sqref="F11:S11">
    <cfRule type="expression" dxfId="23" priority="2">
      <formula>E11="NO SE REPORTA"</formula>
    </cfRule>
    <cfRule type="expression" dxfId="22" priority="3">
      <formula>E10="NO APLICA"</formula>
    </cfRule>
  </conditionalFormatting>
  <conditionalFormatting sqref="E12:R12">
    <cfRule type="expression" dxfId="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20:J20 E35:L36 E44:G45 E28:E30 E66:G67 E50:E52 E57:L58" xr:uid="{00000000-0002-0000-2100-000000000000}">
      <formula1>0</formula1>
    </dataValidation>
    <dataValidation type="decimal" allowBlank="1" showInputMessage="1" showErrorMessage="1" errorTitle="ERROR" error="Escriba un valor entre 0% y 100%" sqref="F79:F80" xr:uid="{00000000-0002-0000-2100-000001000000}">
      <formula1>0</formula1>
      <formula2>1</formula2>
    </dataValidation>
    <dataValidation type="list" allowBlank="1" showInputMessage="1" showErrorMessage="1" sqref="E11" xr:uid="{00000000-0002-0000-2100-000002000000}">
      <formula1>REPORTE</formula1>
    </dataValidation>
    <dataValidation type="list" allowBlank="1" showInputMessage="1" showErrorMessage="1" sqref="E10" xr:uid="{00000000-0002-0000-2100-000003000000}">
      <formula1>SI</formula1>
    </dataValidation>
  </dataValidations>
  <hyperlinks>
    <hyperlink ref="D119" r:id="rId1" display="http://www.sisaire.gov.co/" xr:uid="{00000000-0004-0000-2100-000000000000}"/>
    <hyperlink ref="D120" r:id="rId2" display="http://www.sirh.ideam.gov.co/" xr:uid="{00000000-0004-0000-2100-000001000000}"/>
    <hyperlink ref="B9" location="'ANEXO 3'!A1" display="VOLVER AL INDICE" xr:uid="{00000000-0004-0000-2100-000002000000}"/>
    <hyperlink ref="E90" r:id="rId3" xr:uid="{00000000-0004-0000-2100-000003000000}"/>
  </hyperlinks>
  <pageMargins left="0.25" right="0.25" top="0.75" bottom="0.75" header="0.3" footer="0.3"/>
  <pageSetup paperSize="178" orientation="landscape" horizontalDpi="1200" verticalDpi="1200" r:id="rId4"/>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83"/>
  <sheetViews>
    <sheetView showGridLines="0" topLeftCell="A31" zoomScale="98" zoomScaleNormal="98" workbookViewId="0">
      <selection activeCell="G40" sqref="G40"/>
    </sheetView>
  </sheetViews>
  <sheetFormatPr defaultColWidth="10.7109375" defaultRowHeight="15"/>
  <cols>
    <col min="1" max="1" width="1.85546875" customWidth="1"/>
    <col min="2" max="2" width="12.85546875" customWidth="1"/>
    <col min="3" max="3" width="5.140625" style="63" bestFit="1" customWidth="1"/>
    <col min="4" max="4" width="34.85546875" customWidth="1"/>
    <col min="5" max="5" width="12.140625" customWidth="1"/>
    <col min="8" max="8" width="23.28515625" customWidth="1"/>
    <col min="11" max="11" width="22" customWidth="1"/>
  </cols>
  <sheetData>
    <row r="1" spans="1:21" s="333" customFormat="1" ht="100.5" customHeight="1" thickBot="1">
      <c r="A1" s="992"/>
      <c r="B1" s="993"/>
      <c r="C1" s="993"/>
      <c r="D1" s="993"/>
      <c r="E1" s="993"/>
      <c r="F1" s="993"/>
      <c r="G1" s="993"/>
      <c r="H1" s="993"/>
      <c r="I1" s="993"/>
      <c r="J1" s="993"/>
      <c r="K1" s="993"/>
      <c r="L1" s="993"/>
      <c r="M1" s="993"/>
      <c r="N1" s="993"/>
      <c r="O1" s="993"/>
      <c r="P1" s="994"/>
      <c r="Q1" s="241"/>
      <c r="R1" s="241"/>
    </row>
    <row r="2" spans="1:21"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334" customFormat="1" ht="16.5" thickBot="1">
      <c r="A3" s="995" t="s">
        <v>1401</v>
      </c>
      <c r="B3" s="996"/>
      <c r="C3" s="996"/>
      <c r="D3" s="996"/>
      <c r="E3" s="996"/>
      <c r="F3" s="996"/>
      <c r="G3" s="996"/>
      <c r="H3" s="996"/>
      <c r="I3" s="996"/>
      <c r="J3" s="996"/>
      <c r="K3" s="996"/>
      <c r="L3" s="996"/>
      <c r="M3" s="996"/>
      <c r="N3" s="996"/>
      <c r="O3" s="996"/>
      <c r="P3" s="997"/>
      <c r="Q3" s="241"/>
      <c r="R3" s="241"/>
    </row>
    <row r="4" spans="1:21" s="334" customFormat="1" ht="16.5" thickBot="1">
      <c r="A4" s="998" t="s">
        <v>55</v>
      </c>
      <c r="B4" s="999"/>
      <c r="C4" s="999"/>
      <c r="D4" s="999"/>
      <c r="E4" s="370" t="str">
        <f>'Datos Generales'!C6</f>
        <v>2020-II</v>
      </c>
      <c r="F4" s="370"/>
      <c r="G4" s="370"/>
      <c r="H4" s="370"/>
      <c r="I4" s="370"/>
      <c r="J4" s="370"/>
      <c r="K4" s="370"/>
      <c r="L4" s="372"/>
      <c r="M4" s="372"/>
      <c r="N4" s="372"/>
      <c r="O4" s="372"/>
      <c r="P4" s="373"/>
      <c r="Q4" s="241"/>
      <c r="R4" s="241"/>
    </row>
    <row r="5" spans="1:21" s="177" customFormat="1" ht="16.5" customHeight="1" thickBot="1">
      <c r="A5" s="995" t="s">
        <v>761</v>
      </c>
      <c r="B5" s="996"/>
      <c r="C5" s="996"/>
      <c r="D5" s="996"/>
      <c r="E5" s="996"/>
      <c r="F5" s="996"/>
      <c r="G5" s="996"/>
      <c r="H5" s="996"/>
      <c r="I5" s="996"/>
      <c r="J5" s="996"/>
      <c r="K5" s="996"/>
      <c r="L5" s="996"/>
      <c r="M5" s="996"/>
      <c r="N5" s="996"/>
      <c r="O5" s="996"/>
      <c r="P5" s="997"/>
    </row>
    <row r="6" spans="1:21">
      <c r="A6" s="241"/>
      <c r="B6" s="1" t="s">
        <v>1437</v>
      </c>
      <c r="C6" s="55"/>
      <c r="D6" s="4"/>
      <c r="E6" s="53"/>
      <c r="F6" s="4" t="s">
        <v>1438</v>
      </c>
      <c r="G6" s="4"/>
      <c r="H6" s="4"/>
      <c r="I6" s="4"/>
      <c r="J6" s="4"/>
      <c r="K6" s="4"/>
      <c r="L6" s="241"/>
      <c r="M6" s="241"/>
      <c r="N6" s="241"/>
      <c r="O6" s="241"/>
      <c r="P6" s="241"/>
      <c r="Q6" s="241"/>
      <c r="R6" s="241"/>
      <c r="S6" s="241"/>
      <c r="T6" s="241"/>
      <c r="U6" s="241"/>
    </row>
    <row r="7" spans="1:21" ht="15.75" thickBot="1">
      <c r="A7" s="241"/>
      <c r="B7" s="54"/>
      <c r="C7" s="56"/>
      <c r="D7" s="4"/>
      <c r="E7" s="13"/>
      <c r="F7" s="4" t="s">
        <v>1439</v>
      </c>
      <c r="G7" s="4"/>
      <c r="H7" s="4"/>
      <c r="I7" s="4"/>
      <c r="J7" s="4"/>
      <c r="K7" s="4"/>
      <c r="L7" s="241"/>
      <c r="M7" s="241"/>
      <c r="N7" s="241"/>
      <c r="O7" s="241"/>
      <c r="P7" s="241"/>
      <c r="Q7" s="241"/>
      <c r="R7" s="241"/>
      <c r="S7" s="241"/>
      <c r="T7" s="241"/>
      <c r="U7" s="241"/>
    </row>
    <row r="8" spans="1:21" ht="15.75" thickBot="1">
      <c r="A8" s="241"/>
      <c r="B8" s="132" t="s">
        <v>1440</v>
      </c>
      <c r="C8" s="164">
        <v>2020</v>
      </c>
      <c r="D8" s="169">
        <f>IF(E10="NO APLICA","NO APLICA",IF(E11="NO SE REPORTA","SIN INFORMACION",+E30))</f>
        <v>0.73150453066602128</v>
      </c>
      <c r="E8" s="165"/>
      <c r="F8" s="4" t="s">
        <v>1441</v>
      </c>
      <c r="G8" s="4"/>
      <c r="H8" s="4"/>
      <c r="I8" s="4"/>
      <c r="J8" s="4"/>
      <c r="K8" s="4"/>
      <c r="L8" s="241"/>
      <c r="M8" s="241"/>
      <c r="N8" s="241"/>
      <c r="O8" s="241"/>
      <c r="P8" s="241"/>
      <c r="Q8" s="241"/>
      <c r="R8" s="241"/>
      <c r="S8" s="241"/>
      <c r="T8" s="241"/>
      <c r="U8" s="241"/>
    </row>
    <row r="9" spans="1:21">
      <c r="A9" s="241"/>
      <c r="B9" s="300" t="s">
        <v>1442</v>
      </c>
      <c r="D9" s="4"/>
      <c r="E9" s="4"/>
      <c r="F9" s="4"/>
      <c r="G9" s="4"/>
      <c r="H9" s="4"/>
      <c r="I9" s="4"/>
      <c r="J9" s="4"/>
      <c r="K9" s="4"/>
      <c r="L9" s="241"/>
      <c r="M9" s="241"/>
      <c r="N9" s="241"/>
      <c r="O9" s="241"/>
      <c r="P9" s="241"/>
      <c r="Q9" s="241"/>
      <c r="R9" s="241"/>
      <c r="S9" s="241"/>
      <c r="T9" s="241"/>
      <c r="U9" s="241"/>
    </row>
    <row r="10" spans="1:21" s="241" customFormat="1">
      <c r="A10" s="177"/>
      <c r="B10" s="1108" t="s">
        <v>1443</v>
      </c>
      <c r="C10" s="1108"/>
      <c r="D10" s="1108"/>
      <c r="E10" s="306" t="s">
        <v>1444</v>
      </c>
      <c r="F10" s="110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10"/>
      <c r="H10" s="1110"/>
      <c r="I10" s="1110"/>
      <c r="J10" s="1110"/>
      <c r="K10" s="1110"/>
      <c r="L10" s="1110"/>
      <c r="M10" s="1110"/>
      <c r="N10" s="1110"/>
      <c r="O10" s="1110"/>
      <c r="P10" s="1110"/>
      <c r="Q10" s="1110"/>
      <c r="R10" s="1110"/>
      <c r="S10" s="1110"/>
      <c r="T10" s="302"/>
      <c r="U10" s="302"/>
    </row>
    <row r="11" spans="1:21" s="241" customFormat="1" ht="14.45" customHeight="1">
      <c r="A11" s="177"/>
      <c r="B11" s="303"/>
      <c r="C11" s="304"/>
      <c r="D11" s="305" t="str">
        <f>IF(E10="SI APLICA","¿El indicador no se reporta por limitaciones de información disponible? ","")</f>
        <v xml:space="preserve">¿El indicador no se reporta por limitaciones de información disponible? </v>
      </c>
      <c r="E11" s="307" t="s">
        <v>1445</v>
      </c>
      <c r="F11" s="1111"/>
      <c r="G11" s="1112"/>
      <c r="H11" s="1112"/>
      <c r="I11" s="1112"/>
      <c r="J11" s="1112"/>
      <c r="K11" s="1112"/>
      <c r="L11" s="1112"/>
      <c r="M11" s="1112"/>
      <c r="N11" s="1112"/>
      <c r="O11" s="1112"/>
      <c r="P11" s="1112"/>
      <c r="Q11" s="1112"/>
      <c r="R11" s="1112"/>
      <c r="S11" s="1112"/>
    </row>
    <row r="12" spans="1:21" s="241" customFormat="1" ht="23.45" customHeight="1">
      <c r="A12" s="177"/>
      <c r="B12" s="300"/>
      <c r="C12" s="206"/>
      <c r="D12" s="305" t="str">
        <f>IF(E11="SI SE REPORTA","¿Qué programas o proyectos del Plan de Acción están asociados al indicador? ","")</f>
        <v xml:space="preserve">¿Qué programas o proyectos del Plan de Acción están asociados al indicador? </v>
      </c>
      <c r="E12" s="1113" t="s">
        <v>2759</v>
      </c>
      <c r="F12" s="1113"/>
      <c r="G12" s="1113"/>
      <c r="H12" s="1113"/>
      <c r="I12" s="1113"/>
      <c r="J12" s="1113"/>
      <c r="K12" s="1113"/>
      <c r="L12" s="1113"/>
      <c r="M12" s="1113"/>
      <c r="N12" s="1113"/>
      <c r="O12" s="1113"/>
      <c r="P12" s="1113"/>
      <c r="Q12" s="1113"/>
      <c r="R12" s="1113"/>
    </row>
    <row r="13" spans="1:21" s="241" customFormat="1" ht="42" customHeight="1">
      <c r="A13" s="177"/>
      <c r="B13" s="300"/>
      <c r="C13" s="206"/>
      <c r="D13" s="305" t="s">
        <v>1447</v>
      </c>
      <c r="E13" s="1057" t="s">
        <v>2760</v>
      </c>
      <c r="F13" s="1058"/>
      <c r="G13" s="1058"/>
      <c r="H13" s="1058"/>
      <c r="I13" s="1058"/>
      <c r="J13" s="1058"/>
      <c r="K13" s="1058"/>
      <c r="L13" s="1058"/>
      <c r="M13" s="1058"/>
      <c r="N13" s="1058"/>
      <c r="O13" s="1058"/>
      <c r="P13" s="1058"/>
      <c r="Q13" s="1058"/>
      <c r="R13" s="1059"/>
    </row>
    <row r="14" spans="1:21" s="241" customFormat="1" ht="6.95" customHeight="1" thickBot="1">
      <c r="B14" s="300"/>
      <c r="C14" s="63"/>
      <c r="D14" s="4"/>
      <c r="E14" s="4"/>
      <c r="F14" s="4"/>
      <c r="G14" s="4"/>
      <c r="H14" s="4"/>
      <c r="I14" s="4"/>
      <c r="J14" s="4"/>
      <c r="K14" s="4"/>
    </row>
    <row r="15" spans="1:21">
      <c r="A15" s="241"/>
      <c r="B15" s="1032" t="s">
        <v>1449</v>
      </c>
      <c r="C15" s="65"/>
      <c r="D15" s="1021" t="s">
        <v>2761</v>
      </c>
      <c r="E15" s="1022"/>
      <c r="F15" s="1022"/>
      <c r="G15" s="1022"/>
      <c r="H15" s="1023"/>
      <c r="I15" s="4"/>
      <c r="J15" s="4"/>
      <c r="K15" s="4"/>
      <c r="L15" s="4"/>
      <c r="M15" s="4"/>
      <c r="N15" s="4"/>
      <c r="O15" s="4"/>
      <c r="P15" s="241"/>
      <c r="Q15" s="241"/>
      <c r="R15" s="241"/>
      <c r="S15" s="241"/>
      <c r="T15" s="241"/>
      <c r="U15" s="241"/>
    </row>
    <row r="16" spans="1:21">
      <c r="A16" s="241"/>
      <c r="B16" s="1033"/>
      <c r="C16" s="68"/>
      <c r="D16" s="1012" t="s">
        <v>2762</v>
      </c>
      <c r="E16" s="1013"/>
      <c r="F16" s="1013"/>
      <c r="G16" s="1013"/>
      <c r="H16" s="1014"/>
      <c r="I16" s="4"/>
      <c r="J16" s="4"/>
      <c r="K16" s="4"/>
      <c r="L16" s="4"/>
      <c r="M16" s="4"/>
      <c r="N16" s="4"/>
      <c r="O16" s="4"/>
      <c r="P16" s="241"/>
      <c r="Q16" s="241"/>
      <c r="R16" s="241"/>
      <c r="S16" s="241"/>
      <c r="T16" s="241"/>
      <c r="U16" s="241"/>
    </row>
    <row r="17" spans="1:15" ht="15.75" thickBot="1">
      <c r="A17" s="241"/>
      <c r="B17" s="1033"/>
      <c r="C17" s="68"/>
      <c r="D17" s="1044" t="s">
        <v>1450</v>
      </c>
      <c r="E17" s="1045"/>
      <c r="F17" s="1045"/>
      <c r="G17" s="1045"/>
      <c r="H17" s="1046"/>
      <c r="I17" s="4"/>
      <c r="J17" s="4"/>
      <c r="K17" s="4"/>
      <c r="L17" s="4"/>
      <c r="M17" s="4"/>
      <c r="N17" s="4"/>
      <c r="O17" s="4"/>
    </row>
    <row r="18" spans="1:15" ht="15.75" thickBot="1">
      <c r="A18" s="241"/>
      <c r="B18" s="1033"/>
      <c r="C18" s="878" t="s">
        <v>1402</v>
      </c>
      <c r="D18" s="872" t="s">
        <v>2763</v>
      </c>
      <c r="E18" s="872" t="s">
        <v>2764</v>
      </c>
      <c r="F18" s="872" t="s">
        <v>2765</v>
      </c>
      <c r="G18" s="872" t="s">
        <v>2766</v>
      </c>
      <c r="H18" s="83"/>
      <c r="I18" s="4"/>
      <c r="J18" s="4"/>
      <c r="K18" s="4"/>
      <c r="L18" s="4"/>
      <c r="M18" s="4"/>
      <c r="N18" s="4"/>
      <c r="O18" s="4"/>
    </row>
    <row r="19" spans="1:15" ht="24.75" thickBot="1">
      <c r="A19" s="241"/>
      <c r="B19" s="1033"/>
      <c r="C19" s="857" t="s">
        <v>1605</v>
      </c>
      <c r="D19" s="845" t="s">
        <v>2767</v>
      </c>
      <c r="E19" s="108">
        <v>26</v>
      </c>
      <c r="F19" s="108">
        <v>90</v>
      </c>
      <c r="G19" s="108">
        <v>17</v>
      </c>
      <c r="H19" s="84"/>
      <c r="I19" s="4"/>
      <c r="J19" s="4"/>
      <c r="K19" s="4"/>
      <c r="L19" s="4"/>
      <c r="M19" s="4"/>
      <c r="N19" s="4"/>
      <c r="O19" s="4"/>
    </row>
    <row r="20" spans="1:15" ht="24.75" thickBot="1">
      <c r="A20" s="241"/>
      <c r="B20" s="1033"/>
      <c r="C20" s="857" t="s">
        <v>1607</v>
      </c>
      <c r="D20" s="845" t="s">
        <v>2768</v>
      </c>
      <c r="E20" s="108">
        <v>28</v>
      </c>
      <c r="F20" s="108">
        <v>240</v>
      </c>
      <c r="G20" s="108">
        <v>15</v>
      </c>
      <c r="H20" s="84"/>
      <c r="I20" s="4"/>
      <c r="J20" s="4"/>
      <c r="K20" s="4"/>
      <c r="L20" s="4"/>
      <c r="M20" s="4"/>
      <c r="N20" s="4"/>
      <c r="O20" s="4"/>
    </row>
    <row r="21" spans="1:15" ht="24.75" thickBot="1">
      <c r="A21" s="241"/>
      <c r="B21" s="1033"/>
      <c r="C21" s="857" t="s">
        <v>1610</v>
      </c>
      <c r="D21" s="845" t="s">
        <v>2769</v>
      </c>
      <c r="E21" s="109">
        <f>IFERROR(E19/E20,"N.A")</f>
        <v>0.9285714285714286</v>
      </c>
      <c r="F21" s="109">
        <f>IFERROR(F19/F20,"N.A")</f>
        <v>0.375</v>
      </c>
      <c r="G21" s="109">
        <f>IFERROR(G19/G20,"N.A")</f>
        <v>1.1333333333333333</v>
      </c>
      <c r="H21" s="85"/>
      <c r="I21" s="4"/>
      <c r="J21" s="4" t="s">
        <v>2420</v>
      </c>
      <c r="K21" s="4"/>
      <c r="L21" s="4"/>
      <c r="M21" s="4"/>
      <c r="N21" s="4"/>
      <c r="O21" s="4"/>
    </row>
    <row r="22" spans="1:15">
      <c r="A22" s="241"/>
      <c r="B22" s="1033"/>
      <c r="C22" s="68"/>
      <c r="D22" s="1009"/>
      <c r="E22" s="1010"/>
      <c r="F22" s="1010"/>
      <c r="G22" s="1010"/>
      <c r="H22" s="1011"/>
      <c r="I22" s="4"/>
      <c r="J22" s="4"/>
      <c r="K22" s="4"/>
      <c r="L22" s="4"/>
      <c r="M22" s="4"/>
      <c r="N22" s="4"/>
      <c r="O22" s="4"/>
    </row>
    <row r="23" spans="1:15" ht="24" customHeight="1" thickBot="1">
      <c r="A23" s="241"/>
      <c r="B23" s="1033"/>
      <c r="C23" s="68"/>
      <c r="D23" s="1012" t="s">
        <v>2770</v>
      </c>
      <c r="E23" s="1013"/>
      <c r="F23" s="1013"/>
      <c r="G23" s="1013"/>
      <c r="H23" s="1014"/>
      <c r="I23" s="4"/>
      <c r="J23" s="4"/>
      <c r="K23" s="4"/>
      <c r="L23" s="4"/>
      <c r="M23" s="4"/>
      <c r="N23" s="4"/>
      <c r="O23" s="4"/>
    </row>
    <row r="24" spans="1:15" ht="15.75" thickBot="1">
      <c r="A24" s="241"/>
      <c r="B24" s="1033"/>
      <c r="C24" s="878" t="s">
        <v>1402</v>
      </c>
      <c r="D24" s="872" t="s">
        <v>2763</v>
      </c>
      <c r="E24" s="872" t="s">
        <v>2771</v>
      </c>
      <c r="F24" s="872" t="s">
        <v>2772</v>
      </c>
      <c r="G24" s="241"/>
      <c r="H24" s="17"/>
      <c r="I24" s="4"/>
      <c r="J24" s="4"/>
      <c r="K24" s="4"/>
      <c r="L24" s="4"/>
      <c r="M24" s="4"/>
      <c r="N24" s="4"/>
      <c r="O24" s="4"/>
    </row>
    <row r="25" spans="1:15" ht="24.75" thickBot="1">
      <c r="A25" s="241"/>
      <c r="B25" s="1033"/>
      <c r="C25" s="857" t="s">
        <v>1605</v>
      </c>
      <c r="D25" s="845" t="s">
        <v>2773</v>
      </c>
      <c r="E25" s="108">
        <v>313</v>
      </c>
      <c r="F25" s="108">
        <v>59</v>
      </c>
      <c r="G25" s="1242" t="s">
        <v>2774</v>
      </c>
      <c r="H25" s="1243"/>
      <c r="I25" s="4"/>
      <c r="J25" s="4"/>
      <c r="K25" s="4"/>
      <c r="L25" s="4"/>
      <c r="M25" s="4"/>
      <c r="N25" s="4"/>
      <c r="O25" s="4"/>
    </row>
    <row r="26" spans="1:15" ht="24.75" thickBot="1">
      <c r="A26" s="241"/>
      <c r="B26" s="1033"/>
      <c r="C26" s="857" t="s">
        <v>1607</v>
      </c>
      <c r="D26" s="845" t="s">
        <v>2775</v>
      </c>
      <c r="E26" s="108">
        <v>506</v>
      </c>
      <c r="F26" s="108">
        <v>98</v>
      </c>
      <c r="G26" s="1242"/>
      <c r="H26" s="1243"/>
      <c r="I26" s="4"/>
      <c r="J26" s="4"/>
      <c r="K26" s="4"/>
      <c r="L26" s="4"/>
      <c r="M26" s="4"/>
      <c r="N26" s="4"/>
      <c r="O26" s="4"/>
    </row>
    <row r="27" spans="1:15" ht="24.75" thickBot="1">
      <c r="A27" s="241"/>
      <c r="B27" s="1033"/>
      <c r="C27" s="857" t="s">
        <v>1610</v>
      </c>
      <c r="D27" s="845" t="s">
        <v>2776</v>
      </c>
      <c r="E27" s="109">
        <f>IFERROR(E25/E26,"N.A.")</f>
        <v>0.61857707509881421</v>
      </c>
      <c r="F27" s="109">
        <f>IFERROR(F25/F26,"N.A.")</f>
        <v>0.60204081632653061</v>
      </c>
      <c r="G27" s="241"/>
      <c r="H27" s="17"/>
      <c r="I27" s="4"/>
      <c r="J27" s="4" t="s">
        <v>2420</v>
      </c>
      <c r="K27" s="4"/>
      <c r="L27" s="241"/>
      <c r="M27" s="241"/>
      <c r="N27" s="241"/>
      <c r="O27" s="241"/>
    </row>
    <row r="28" spans="1:15" ht="15.75" thickBot="1">
      <c r="A28" s="241"/>
      <c r="B28" s="1034"/>
      <c r="C28" s="857"/>
      <c r="D28" s="844"/>
      <c r="E28" s="844"/>
      <c r="F28" s="844"/>
      <c r="G28" s="844"/>
      <c r="H28" s="19"/>
      <c r="I28" s="4"/>
      <c r="J28" s="4"/>
      <c r="K28" s="4"/>
      <c r="L28" s="241"/>
      <c r="M28" s="241"/>
      <c r="N28" s="241"/>
      <c r="O28" s="241"/>
    </row>
    <row r="29" spans="1:15" s="241" customFormat="1" ht="15.75" thickBot="1">
      <c r="A29" s="4"/>
      <c r="B29" s="4"/>
      <c r="C29" s="4"/>
      <c r="D29" s="4"/>
      <c r="E29" s="4"/>
      <c r="F29" s="4"/>
      <c r="G29" s="4"/>
      <c r="H29" s="4"/>
      <c r="I29" s="4"/>
      <c r="J29" s="4"/>
      <c r="K29" s="4"/>
    </row>
    <row r="30" spans="1:15" s="241" customFormat="1" ht="25.7" customHeight="1" thickBot="1">
      <c r="A30" s="4"/>
      <c r="B30" s="4"/>
      <c r="C30" s="4"/>
      <c r="D30" s="40" t="s">
        <v>2777</v>
      </c>
      <c r="E30" s="109">
        <f>AVERAGE(E21:G21,E27:F27)</f>
        <v>0.73150453066602128</v>
      </c>
      <c r="F30" s="831"/>
      <c r="G30" s="831"/>
      <c r="H30" s="832"/>
      <c r="I30" s="4"/>
      <c r="J30" s="4"/>
      <c r="K30" s="4"/>
    </row>
    <row r="31" spans="1:15" s="241" customFormat="1">
      <c r="A31" s="4"/>
      <c r="B31" s="4"/>
      <c r="C31" s="4"/>
      <c r="D31" s="4"/>
      <c r="E31" s="4"/>
      <c r="F31" s="4"/>
      <c r="G31" s="4"/>
      <c r="H31" s="4"/>
      <c r="I31" s="4"/>
      <c r="J31" s="4"/>
      <c r="K31" s="4"/>
    </row>
    <row r="32" spans="1:15" s="241" customFormat="1" ht="15.75" thickBot="1">
      <c r="A32" s="4"/>
      <c r="B32" s="4"/>
      <c r="C32" s="4"/>
      <c r="D32" s="4"/>
      <c r="E32" s="4"/>
      <c r="F32" s="4"/>
      <c r="G32" s="4"/>
      <c r="H32" s="4"/>
      <c r="I32" s="4"/>
      <c r="J32" s="4"/>
      <c r="K32" s="4"/>
    </row>
    <row r="33" spans="2:11" ht="36" customHeight="1" thickBot="1">
      <c r="B33" s="40" t="s">
        <v>1504</v>
      </c>
      <c r="C33" s="877"/>
      <c r="D33" s="1041" t="s">
        <v>2778</v>
      </c>
      <c r="E33" s="1042"/>
      <c r="F33" s="1042"/>
      <c r="G33" s="1042"/>
      <c r="H33" s="1043"/>
      <c r="I33" s="4"/>
      <c r="J33" s="4"/>
      <c r="K33" s="4"/>
    </row>
    <row r="34" spans="2:11" ht="48" customHeight="1" thickBot="1">
      <c r="B34" s="839" t="s">
        <v>1506</v>
      </c>
      <c r="C34" s="69"/>
      <c r="D34" s="1041" t="s">
        <v>2779</v>
      </c>
      <c r="E34" s="1042"/>
      <c r="F34" s="1042"/>
      <c r="G34" s="1042"/>
      <c r="H34" s="1043"/>
      <c r="I34" s="4"/>
      <c r="J34" s="4"/>
      <c r="K34" s="4"/>
    </row>
    <row r="35" spans="2:11" ht="15.75" thickBot="1">
      <c r="B35" s="1"/>
      <c r="C35" s="55"/>
      <c r="D35" s="4"/>
      <c r="E35" s="4"/>
      <c r="F35" s="4"/>
      <c r="G35" s="4"/>
      <c r="H35" s="4"/>
      <c r="I35" s="4"/>
      <c r="J35" s="4"/>
      <c r="K35" s="4"/>
    </row>
    <row r="36" spans="2:11" ht="24" customHeight="1" thickBot="1">
      <c r="B36" s="1029" t="s">
        <v>1508</v>
      </c>
      <c r="C36" s="1030"/>
      <c r="D36" s="1030"/>
      <c r="E36" s="1031"/>
      <c r="F36" s="4"/>
      <c r="G36" s="4"/>
      <c r="H36" s="4"/>
      <c r="I36" s="4"/>
      <c r="J36" s="4"/>
      <c r="K36" s="4"/>
    </row>
    <row r="37" spans="2:11" ht="15.75" thickBot="1">
      <c r="B37" s="1032">
        <v>1</v>
      </c>
      <c r="C37" s="890"/>
      <c r="D37" s="37" t="s">
        <v>1509</v>
      </c>
      <c r="E37" s="121" t="s">
        <v>1510</v>
      </c>
      <c r="F37" s="4"/>
      <c r="G37" s="4"/>
      <c r="H37" s="4"/>
      <c r="I37" s="4"/>
      <c r="J37" s="4"/>
      <c r="K37" s="4"/>
    </row>
    <row r="38" spans="2:11" ht="36.75" thickBot="1">
      <c r="B38" s="1033"/>
      <c r="C38" s="890"/>
      <c r="D38" s="845" t="s">
        <v>10</v>
      </c>
      <c r="E38" s="275" t="s">
        <v>2626</v>
      </c>
      <c r="F38" s="4"/>
      <c r="G38" s="4"/>
      <c r="H38" s="4"/>
      <c r="I38" s="4"/>
      <c r="J38" s="4"/>
      <c r="K38" s="4"/>
    </row>
    <row r="39" spans="2:11" ht="24.75" thickBot="1">
      <c r="B39" s="1033"/>
      <c r="C39" s="890"/>
      <c r="D39" s="845" t="s">
        <v>1512</v>
      </c>
      <c r="E39" s="275" t="s">
        <v>1691</v>
      </c>
      <c r="F39" s="4"/>
      <c r="G39" s="4"/>
      <c r="H39" s="4"/>
      <c r="I39" s="4"/>
      <c r="J39" s="4"/>
      <c r="K39" s="4"/>
    </row>
    <row r="40" spans="2:11" ht="15.75" thickBot="1">
      <c r="B40" s="1033"/>
      <c r="C40" s="890"/>
      <c r="D40" s="845" t="s">
        <v>13</v>
      </c>
      <c r="E40" s="121" t="s">
        <v>1514</v>
      </c>
      <c r="F40" s="4"/>
      <c r="G40" s="4"/>
      <c r="H40" s="4"/>
      <c r="I40" s="4"/>
      <c r="J40" s="4"/>
      <c r="K40" s="4"/>
    </row>
    <row r="41" spans="2:11" ht="45.75" thickBot="1">
      <c r="B41" s="1033"/>
      <c r="C41" s="890"/>
      <c r="D41" s="845" t="s">
        <v>16</v>
      </c>
      <c r="E41" s="709" t="s">
        <v>1646</v>
      </c>
      <c r="F41" s="4"/>
      <c r="G41" s="4"/>
      <c r="H41" s="4"/>
      <c r="I41" s="4"/>
      <c r="J41" s="4"/>
      <c r="K41" s="4"/>
    </row>
    <row r="42" spans="2:11" ht="24.75" thickBot="1">
      <c r="B42" s="1033"/>
      <c r="C42" s="890"/>
      <c r="D42" s="845" t="s">
        <v>19</v>
      </c>
      <c r="E42" s="275" t="s">
        <v>1647</v>
      </c>
      <c r="F42" s="4"/>
      <c r="G42" s="4"/>
      <c r="H42" s="4"/>
      <c r="I42" s="4"/>
      <c r="J42" s="4"/>
      <c r="K42" s="4"/>
    </row>
    <row r="43" spans="2:11" ht="24.75" thickBot="1">
      <c r="B43" s="1034"/>
      <c r="C43" s="857"/>
      <c r="D43" s="845" t="s">
        <v>1516</v>
      </c>
      <c r="E43" s="275" t="s">
        <v>1517</v>
      </c>
      <c r="F43" s="4"/>
      <c r="G43" s="4"/>
      <c r="H43" s="4"/>
      <c r="I43" s="4"/>
      <c r="J43" s="4"/>
      <c r="K43" s="4"/>
    </row>
    <row r="44" spans="2:11" ht="15.75" thickBot="1">
      <c r="B44" s="1"/>
      <c r="C44" s="55"/>
      <c r="D44" s="4"/>
      <c r="E44" s="4"/>
      <c r="F44" s="4"/>
      <c r="G44" s="4"/>
      <c r="H44" s="4"/>
      <c r="I44" s="4"/>
      <c r="J44" s="4"/>
      <c r="K44" s="4"/>
    </row>
    <row r="45" spans="2:11" ht="15.75" thickBot="1">
      <c r="B45" s="1029" t="s">
        <v>1518</v>
      </c>
      <c r="C45" s="1030"/>
      <c r="D45" s="1030"/>
      <c r="E45" s="1031"/>
      <c r="F45" s="4"/>
      <c r="G45" s="4"/>
      <c r="H45" s="4"/>
      <c r="I45" s="4"/>
      <c r="J45" s="4"/>
      <c r="K45" s="4"/>
    </row>
    <row r="46" spans="2:11" ht="15.75" thickBot="1">
      <c r="B46" s="1032">
        <v>1</v>
      </c>
      <c r="C46" s="890"/>
      <c r="D46" s="37" t="s">
        <v>1509</v>
      </c>
      <c r="E46" s="14" t="s">
        <v>1519</v>
      </c>
      <c r="F46" s="4"/>
      <c r="G46" s="4"/>
      <c r="H46" s="4"/>
      <c r="I46" s="4"/>
      <c r="J46" s="4"/>
      <c r="K46" s="4"/>
    </row>
    <row r="47" spans="2:11" ht="15.75" thickBot="1">
      <c r="B47" s="1033"/>
      <c r="C47" s="890"/>
      <c r="D47" s="845" t="s">
        <v>10</v>
      </c>
      <c r="E47" s="14" t="s">
        <v>1616</v>
      </c>
      <c r="F47" s="4"/>
      <c r="G47" s="4"/>
      <c r="H47" s="4"/>
      <c r="I47" s="4"/>
      <c r="J47" s="4"/>
      <c r="K47" s="4"/>
    </row>
    <row r="48" spans="2:11" ht="15.75" thickBot="1">
      <c r="B48" s="1033"/>
      <c r="C48" s="890"/>
      <c r="D48" s="845" t="s">
        <v>1512</v>
      </c>
      <c r="E48" s="126"/>
      <c r="F48" s="4"/>
      <c r="G48" s="4"/>
      <c r="H48" s="4"/>
      <c r="I48" s="4"/>
      <c r="J48" s="4"/>
      <c r="K48" s="4"/>
    </row>
    <row r="49" spans="2:11" ht="15.75" thickBot="1">
      <c r="B49" s="1033"/>
      <c r="C49" s="890"/>
      <c r="D49" s="845" t="s">
        <v>13</v>
      </c>
      <c r="E49" s="126"/>
      <c r="F49" s="4"/>
      <c r="G49" s="4"/>
      <c r="H49" s="4"/>
      <c r="I49" s="4"/>
      <c r="J49" s="4"/>
      <c r="K49" s="4"/>
    </row>
    <row r="50" spans="2:11" ht="15.75" thickBot="1">
      <c r="B50" s="1033"/>
      <c r="C50" s="890"/>
      <c r="D50" s="845" t="s">
        <v>16</v>
      </c>
      <c r="E50" s="126"/>
      <c r="F50" s="4"/>
      <c r="G50" s="4"/>
      <c r="H50" s="4"/>
      <c r="I50" s="4"/>
      <c r="J50" s="4"/>
      <c r="K50" s="4"/>
    </row>
    <row r="51" spans="2:11" ht="15.75" thickBot="1">
      <c r="B51" s="1033"/>
      <c r="C51" s="890"/>
      <c r="D51" s="845" t="s">
        <v>19</v>
      </c>
      <c r="E51" s="126"/>
      <c r="F51" s="4"/>
      <c r="G51" s="4"/>
      <c r="H51" s="4"/>
      <c r="I51" s="4"/>
      <c r="J51" s="4"/>
      <c r="K51" s="4"/>
    </row>
    <row r="52" spans="2:11" ht="15.75" thickBot="1">
      <c r="B52" s="1034"/>
      <c r="C52" s="857"/>
      <c r="D52" s="845" t="s">
        <v>1516</v>
      </c>
      <c r="E52" s="126"/>
      <c r="F52" s="4"/>
      <c r="G52" s="4"/>
      <c r="H52" s="4"/>
      <c r="I52" s="4"/>
      <c r="J52" s="4"/>
      <c r="K52" s="4"/>
    </row>
    <row r="53" spans="2:11" ht="15.75" thickBot="1">
      <c r="B53" s="1"/>
      <c r="C53" s="55"/>
      <c r="D53" s="4"/>
      <c r="E53" s="4"/>
      <c r="F53" s="4"/>
      <c r="G53" s="4"/>
      <c r="H53" s="4"/>
      <c r="I53" s="4"/>
      <c r="J53" s="4"/>
      <c r="K53" s="4"/>
    </row>
    <row r="54" spans="2:11" ht="15" customHeight="1" thickBot="1">
      <c r="B54" s="846" t="s">
        <v>1521</v>
      </c>
      <c r="C54" s="847"/>
      <c r="D54" s="847"/>
      <c r="E54" s="848"/>
      <c r="F54" s="241"/>
      <c r="G54" s="4"/>
      <c r="H54" s="4"/>
      <c r="I54" s="4"/>
      <c r="J54" s="4"/>
      <c r="K54" s="4"/>
    </row>
    <row r="55" spans="2:11" ht="24.75" thickBot="1">
      <c r="B55" s="839" t="s">
        <v>1522</v>
      </c>
      <c r="C55" s="845" t="s">
        <v>1523</v>
      </c>
      <c r="D55" s="845" t="s">
        <v>1524</v>
      </c>
      <c r="E55" s="845" t="s">
        <v>1525</v>
      </c>
      <c r="F55" s="4"/>
      <c r="G55" s="4"/>
      <c r="H55" s="4"/>
      <c r="I55" s="4"/>
      <c r="J55" s="4"/>
      <c r="K55" s="241"/>
    </row>
    <row r="56" spans="2:11" ht="60.75" thickBot="1">
      <c r="B56" s="38">
        <v>42401</v>
      </c>
      <c r="C56" s="845">
        <v>0.01</v>
      </c>
      <c r="D56" s="837" t="s">
        <v>2780</v>
      </c>
      <c r="E56" s="845"/>
      <c r="F56" s="4"/>
      <c r="G56" s="4"/>
      <c r="H56" s="4"/>
      <c r="I56" s="4"/>
      <c r="J56" s="4"/>
      <c r="K56" s="241"/>
    </row>
    <row r="57" spans="2:11" ht="15.75" thickBot="1">
      <c r="B57" s="2"/>
      <c r="C57" s="70"/>
      <c r="D57" s="4"/>
      <c r="E57" s="4"/>
      <c r="F57" s="4"/>
      <c r="G57" s="4"/>
      <c r="H57" s="4"/>
      <c r="I57" s="4"/>
      <c r="J57" s="4"/>
      <c r="K57" s="4"/>
    </row>
    <row r="58" spans="2:11" ht="15.75" thickBot="1">
      <c r="B58" s="879" t="s">
        <v>1406</v>
      </c>
      <c r="C58" s="71"/>
      <c r="D58" s="4"/>
      <c r="E58" s="4"/>
      <c r="F58" s="4"/>
      <c r="G58" s="4"/>
      <c r="H58" s="4"/>
      <c r="I58" s="4"/>
      <c r="J58" s="4"/>
      <c r="K58" s="4"/>
    </row>
    <row r="59" spans="2:11">
      <c r="B59" s="1177"/>
      <c r="C59" s="1178"/>
      <c r="D59" s="1178"/>
      <c r="E59" s="1179"/>
      <c r="F59" s="4"/>
      <c r="G59" s="4"/>
      <c r="H59" s="4"/>
      <c r="I59" s="4"/>
      <c r="J59" s="4"/>
      <c r="K59" s="4"/>
    </row>
    <row r="60" spans="2:11" ht="15.75" thickBot="1">
      <c r="B60" s="1180"/>
      <c r="C60" s="1181"/>
      <c r="D60" s="1181"/>
      <c r="E60" s="1182"/>
      <c r="F60" s="4"/>
      <c r="G60" s="4"/>
      <c r="H60" s="4"/>
      <c r="I60" s="4"/>
      <c r="J60" s="4"/>
      <c r="K60" s="4"/>
    </row>
    <row r="61" spans="2:11" ht="15.75" thickBot="1">
      <c r="B61" s="4"/>
      <c r="D61" s="4"/>
      <c r="E61" s="4"/>
      <c r="F61" s="4"/>
      <c r="G61" s="4"/>
      <c r="H61" s="4"/>
      <c r="I61" s="4"/>
      <c r="J61" s="4"/>
      <c r="K61" s="4"/>
    </row>
    <row r="62" spans="2:11" ht="24.75" thickBot="1">
      <c r="B62" s="39" t="s">
        <v>1527</v>
      </c>
      <c r="C62" s="72"/>
      <c r="D62" s="4"/>
      <c r="E62" s="4"/>
      <c r="F62" s="4"/>
      <c r="G62" s="4"/>
      <c r="H62" s="4"/>
      <c r="I62" s="4"/>
      <c r="J62" s="4"/>
      <c r="K62" s="4"/>
    </row>
    <row r="63" spans="2:11" ht="15.75" thickBot="1">
      <c r="B63" s="1"/>
      <c r="C63" s="55"/>
      <c r="D63" s="4"/>
      <c r="E63" s="4"/>
      <c r="F63" s="4"/>
      <c r="G63" s="4"/>
      <c r="H63" s="4"/>
      <c r="I63" s="4"/>
      <c r="J63" s="4"/>
      <c r="K63" s="4"/>
    </row>
    <row r="64" spans="2:11" ht="60.75" thickBot="1">
      <c r="B64" s="40" t="s">
        <v>1528</v>
      </c>
      <c r="C64" s="878"/>
      <c r="D64" s="842" t="s">
        <v>2781</v>
      </c>
      <c r="E64" s="4"/>
      <c r="F64" s="4"/>
      <c r="G64" s="4"/>
      <c r="H64" s="4"/>
      <c r="I64" s="4"/>
      <c r="J64" s="4"/>
      <c r="K64" s="4"/>
    </row>
    <row r="65" spans="2:11">
      <c r="B65" s="1032" t="s">
        <v>1530</v>
      </c>
      <c r="C65" s="890"/>
      <c r="D65" s="836" t="s">
        <v>1531</v>
      </c>
      <c r="E65" s="4"/>
      <c r="F65" s="4"/>
      <c r="G65" s="4"/>
      <c r="H65" s="4"/>
      <c r="I65" s="4"/>
      <c r="J65" s="4"/>
      <c r="K65" s="4"/>
    </row>
    <row r="66" spans="2:11" ht="48">
      <c r="B66" s="1033"/>
      <c r="C66" s="890"/>
      <c r="D66" s="829" t="s">
        <v>2782</v>
      </c>
      <c r="E66" s="4"/>
      <c r="F66" s="4"/>
      <c r="G66" s="4"/>
      <c r="H66" s="4"/>
      <c r="I66" s="4"/>
      <c r="J66" s="4"/>
      <c r="K66" s="4"/>
    </row>
    <row r="67" spans="2:11">
      <c r="B67" s="1033"/>
      <c r="C67" s="890"/>
      <c r="D67" s="836" t="s">
        <v>1620</v>
      </c>
      <c r="E67" s="4"/>
      <c r="F67" s="4"/>
      <c r="G67" s="4"/>
      <c r="H67" s="4"/>
      <c r="I67" s="4"/>
      <c r="J67" s="4"/>
      <c r="K67" s="4"/>
    </row>
    <row r="68" spans="2:11">
      <c r="B68" s="1033"/>
      <c r="C68" s="890"/>
      <c r="D68" s="829" t="s">
        <v>1536</v>
      </c>
      <c r="E68" s="4"/>
      <c r="F68" s="4"/>
      <c r="G68" s="4"/>
      <c r="H68" s="4"/>
      <c r="I68" s="4"/>
      <c r="J68" s="4"/>
      <c r="K68" s="4"/>
    </row>
    <row r="69" spans="2:11">
      <c r="B69" s="1033"/>
      <c r="C69" s="890"/>
      <c r="D69" s="829" t="s">
        <v>2743</v>
      </c>
      <c r="E69" s="4"/>
      <c r="F69" s="4"/>
      <c r="G69" s="4"/>
      <c r="H69" s="4"/>
      <c r="I69" s="4"/>
      <c r="J69" s="4"/>
      <c r="K69" s="4"/>
    </row>
    <row r="70" spans="2:11" ht="48">
      <c r="B70" s="1033"/>
      <c r="C70" s="890"/>
      <c r="D70" s="829" t="s">
        <v>2744</v>
      </c>
      <c r="E70" s="4"/>
      <c r="F70" s="4"/>
      <c r="G70" s="4"/>
      <c r="H70" s="4"/>
      <c r="I70" s="4"/>
      <c r="J70" s="4"/>
      <c r="K70" s="4"/>
    </row>
    <row r="71" spans="2:11" ht="24">
      <c r="B71" s="1033"/>
      <c r="C71" s="890"/>
      <c r="D71" s="829" t="s">
        <v>2783</v>
      </c>
      <c r="E71" s="4"/>
      <c r="F71" s="4"/>
      <c r="G71" s="4"/>
      <c r="H71" s="4"/>
      <c r="I71" s="4"/>
      <c r="J71" s="4"/>
      <c r="K71" s="4"/>
    </row>
    <row r="72" spans="2:11">
      <c r="B72" s="1033"/>
      <c r="C72" s="890"/>
      <c r="D72" s="829" t="s">
        <v>2784</v>
      </c>
      <c r="E72" s="4"/>
      <c r="F72" s="4"/>
      <c r="G72" s="4"/>
      <c r="H72" s="4"/>
      <c r="I72" s="4"/>
      <c r="J72" s="4"/>
      <c r="K72" s="4"/>
    </row>
    <row r="73" spans="2:11">
      <c r="B73" s="1033"/>
      <c r="C73" s="890"/>
      <c r="D73" s="836" t="s">
        <v>2785</v>
      </c>
      <c r="E73" s="4"/>
      <c r="F73" s="4"/>
      <c r="G73" s="4"/>
      <c r="H73" s="4"/>
      <c r="I73" s="4"/>
      <c r="J73" s="4"/>
      <c r="K73" s="4"/>
    </row>
    <row r="74" spans="2:11" ht="60">
      <c r="B74" s="1033"/>
      <c r="C74" s="890"/>
      <c r="D74" s="829" t="s">
        <v>2786</v>
      </c>
      <c r="E74" s="4"/>
      <c r="F74" s="4"/>
      <c r="G74" s="4"/>
      <c r="H74" s="4"/>
      <c r="I74" s="4"/>
      <c r="J74" s="4"/>
      <c r="K74" s="4"/>
    </row>
    <row r="75" spans="2:11">
      <c r="B75" s="1033"/>
      <c r="C75" s="890"/>
      <c r="D75" s="42" t="s">
        <v>2745</v>
      </c>
      <c r="E75" s="4"/>
      <c r="F75" s="4"/>
      <c r="G75" s="4"/>
      <c r="H75" s="4"/>
      <c r="I75" s="4"/>
      <c r="J75" s="4"/>
      <c r="K75" s="4"/>
    </row>
    <row r="76" spans="2:11" ht="15.75" thickBot="1">
      <c r="B76" s="1034"/>
      <c r="C76" s="857"/>
      <c r="D76" s="43" t="s">
        <v>2746</v>
      </c>
      <c r="E76" s="4"/>
      <c r="F76" s="4"/>
      <c r="G76" s="4"/>
      <c r="H76" s="4"/>
      <c r="I76" s="4"/>
      <c r="J76" s="4"/>
      <c r="K76" s="4"/>
    </row>
    <row r="77" spans="2:11" ht="24.75" thickBot="1">
      <c r="B77" s="839" t="s">
        <v>1543</v>
      </c>
      <c r="C77" s="857"/>
      <c r="D77" s="845" t="s">
        <v>2787</v>
      </c>
      <c r="E77" s="4"/>
      <c r="F77" s="4"/>
      <c r="G77" s="4"/>
      <c r="H77" s="4"/>
      <c r="I77" s="4"/>
      <c r="J77" s="4"/>
      <c r="K77" s="4"/>
    </row>
    <row r="78" spans="2:11" ht="108">
      <c r="B78" s="1032" t="s">
        <v>1544</v>
      </c>
      <c r="C78" s="890"/>
      <c r="D78" s="829" t="s">
        <v>2788</v>
      </c>
      <c r="E78" s="4"/>
      <c r="F78" s="4"/>
      <c r="G78" s="4"/>
      <c r="H78" s="4"/>
      <c r="I78" s="4"/>
      <c r="J78" s="4"/>
      <c r="K78" s="4"/>
    </row>
    <row r="79" spans="2:11" ht="204">
      <c r="B79" s="1033"/>
      <c r="C79" s="890"/>
      <c r="D79" s="829" t="s">
        <v>2789</v>
      </c>
      <c r="E79" s="4"/>
      <c r="F79" s="4"/>
      <c r="G79" s="4"/>
      <c r="H79" s="4"/>
      <c r="I79" s="4"/>
      <c r="J79" s="4"/>
      <c r="K79" s="4"/>
    </row>
    <row r="80" spans="2:11" ht="240">
      <c r="B80" s="1033"/>
      <c r="C80" s="890"/>
      <c r="D80" s="829" t="s">
        <v>2790</v>
      </c>
      <c r="E80" s="4"/>
      <c r="F80" s="4"/>
      <c r="G80" s="4"/>
      <c r="H80" s="4"/>
      <c r="I80" s="4"/>
      <c r="J80" s="4"/>
      <c r="K80" s="4"/>
    </row>
    <row r="81" spans="2:11" ht="84">
      <c r="B81" s="1033"/>
      <c r="C81" s="890"/>
      <c r="D81" s="829" t="s">
        <v>2791</v>
      </c>
      <c r="E81" s="4"/>
      <c r="F81" s="4"/>
      <c r="G81" s="4"/>
      <c r="H81" s="4"/>
      <c r="I81" s="4"/>
      <c r="J81" s="4"/>
      <c r="K81" s="4"/>
    </row>
    <row r="82" spans="2:11" ht="216">
      <c r="B82" s="1033"/>
      <c r="C82" s="890"/>
      <c r="D82" s="829" t="s">
        <v>2750</v>
      </c>
      <c r="E82" s="4"/>
      <c r="F82" s="4"/>
      <c r="G82" s="4"/>
      <c r="H82" s="4"/>
      <c r="I82" s="4"/>
      <c r="J82" s="4"/>
      <c r="K82" s="4"/>
    </row>
    <row r="83" spans="2:11" ht="180">
      <c r="B83" s="1033"/>
      <c r="C83" s="890"/>
      <c r="D83" s="829" t="s">
        <v>2792</v>
      </c>
      <c r="E83" s="4"/>
      <c r="F83" s="4"/>
      <c r="G83" s="4"/>
      <c r="H83" s="4"/>
      <c r="I83" s="4"/>
      <c r="J83" s="4"/>
      <c r="K83" s="4"/>
    </row>
    <row r="84" spans="2:11" ht="132.75" thickBot="1">
      <c r="B84" s="1034"/>
      <c r="C84" s="857"/>
      <c r="D84" s="845" t="s">
        <v>2793</v>
      </c>
      <c r="E84" s="4"/>
      <c r="F84" s="4"/>
      <c r="G84" s="4"/>
      <c r="H84" s="4"/>
      <c r="I84" s="4"/>
      <c r="J84" s="4"/>
      <c r="K84" s="4"/>
    </row>
    <row r="85" spans="2:11" ht="24">
      <c r="B85" s="1032" t="s">
        <v>1561</v>
      </c>
      <c r="C85" s="890"/>
      <c r="D85" s="874" t="s">
        <v>2761</v>
      </c>
      <c r="E85" s="4"/>
      <c r="F85" s="4"/>
      <c r="G85" s="4"/>
      <c r="H85" s="4"/>
      <c r="I85" s="4"/>
      <c r="J85" s="4"/>
      <c r="K85" s="4"/>
    </row>
    <row r="86" spans="2:11">
      <c r="B86" s="1033"/>
      <c r="C86" s="890"/>
      <c r="D86" s="826"/>
      <c r="E86" s="4"/>
      <c r="F86" s="4"/>
      <c r="G86" s="4"/>
      <c r="H86" s="4"/>
      <c r="I86" s="4"/>
      <c r="J86" s="4"/>
      <c r="K86" s="4"/>
    </row>
    <row r="87" spans="2:11">
      <c r="B87" s="1033"/>
      <c r="C87" s="890"/>
      <c r="D87" s="829" t="s">
        <v>1562</v>
      </c>
      <c r="E87" s="4"/>
      <c r="F87" s="4"/>
      <c r="G87" s="4"/>
      <c r="H87" s="4"/>
      <c r="I87" s="4"/>
      <c r="J87" s="4"/>
      <c r="K87" s="4"/>
    </row>
    <row r="88" spans="2:11" ht="37.5">
      <c r="B88" s="1033"/>
      <c r="C88" s="890"/>
      <c r="D88" s="829" t="s">
        <v>2794</v>
      </c>
      <c r="E88" s="4"/>
      <c r="F88" s="4"/>
      <c r="G88" s="4"/>
      <c r="H88" s="4"/>
      <c r="I88" s="4"/>
      <c r="J88" s="4"/>
      <c r="K88" s="4"/>
    </row>
    <row r="89" spans="2:11" ht="37.5">
      <c r="B89" s="1033"/>
      <c r="C89" s="890"/>
      <c r="D89" s="829" t="s">
        <v>2795</v>
      </c>
      <c r="E89" s="4"/>
      <c r="F89" s="4"/>
      <c r="G89" s="4"/>
      <c r="H89" s="4"/>
      <c r="I89" s="4"/>
      <c r="J89" s="4"/>
      <c r="K89" s="4"/>
    </row>
    <row r="90" spans="2:11">
      <c r="B90" s="1033"/>
      <c r="C90" s="890"/>
      <c r="D90" s="829" t="s">
        <v>2796</v>
      </c>
      <c r="E90" s="4"/>
      <c r="F90" s="4"/>
      <c r="G90" s="4"/>
      <c r="H90" s="4"/>
      <c r="I90" s="4"/>
      <c r="J90" s="4"/>
      <c r="K90" s="4"/>
    </row>
    <row r="91" spans="2:11" ht="49.5">
      <c r="B91" s="1033"/>
      <c r="C91" s="890"/>
      <c r="D91" s="829" t="s">
        <v>2797</v>
      </c>
      <c r="E91" s="4"/>
      <c r="F91" s="4"/>
      <c r="G91" s="4"/>
      <c r="H91" s="4"/>
      <c r="I91" s="4"/>
      <c r="J91" s="4"/>
      <c r="K91" s="4"/>
    </row>
    <row r="92" spans="2:11" ht="60">
      <c r="B92" s="1033"/>
      <c r="C92" s="890"/>
      <c r="D92" s="829" t="s">
        <v>2798</v>
      </c>
      <c r="E92" s="4"/>
      <c r="F92" s="4"/>
      <c r="G92" s="4"/>
      <c r="H92" s="4"/>
      <c r="I92" s="4"/>
      <c r="J92" s="4"/>
      <c r="K92" s="4"/>
    </row>
    <row r="93" spans="2:11" ht="48">
      <c r="B93" s="1033"/>
      <c r="C93" s="890"/>
      <c r="D93" s="829" t="s">
        <v>2799</v>
      </c>
      <c r="E93" s="4"/>
      <c r="F93" s="4"/>
      <c r="G93" s="4"/>
      <c r="H93" s="4"/>
      <c r="I93" s="4"/>
      <c r="J93" s="4"/>
      <c r="K93" s="4"/>
    </row>
    <row r="94" spans="2:11" ht="24">
      <c r="B94" s="1033"/>
      <c r="C94" s="890"/>
      <c r="D94" s="836" t="s">
        <v>2800</v>
      </c>
      <c r="E94" s="4"/>
      <c r="F94" s="4"/>
      <c r="G94" s="4"/>
      <c r="H94" s="4"/>
      <c r="I94" s="4"/>
      <c r="J94" s="4"/>
      <c r="K94" s="4"/>
    </row>
    <row r="95" spans="2:11">
      <c r="B95" s="1033"/>
      <c r="C95" s="890"/>
      <c r="D95" s="826"/>
      <c r="E95" s="4"/>
      <c r="F95" s="4"/>
      <c r="G95" s="4"/>
      <c r="H95" s="4"/>
      <c r="I95" s="4"/>
      <c r="J95" s="4"/>
      <c r="K95" s="4"/>
    </row>
    <row r="96" spans="2:11">
      <c r="B96" s="1033"/>
      <c r="C96" s="890"/>
      <c r="D96" s="829" t="s">
        <v>1562</v>
      </c>
      <c r="E96" s="4"/>
      <c r="F96" s="4"/>
      <c r="G96" s="4"/>
      <c r="H96" s="4"/>
      <c r="I96" s="4"/>
      <c r="J96" s="4"/>
      <c r="K96" s="4"/>
    </row>
    <row r="97" spans="2:11" ht="37.5">
      <c r="B97" s="1033"/>
      <c r="C97" s="890"/>
      <c r="D97" s="829" t="s">
        <v>2801</v>
      </c>
      <c r="E97" s="4"/>
      <c r="F97" s="4"/>
      <c r="G97" s="4"/>
      <c r="H97" s="4"/>
      <c r="I97" s="4"/>
      <c r="J97" s="4"/>
      <c r="K97" s="4"/>
    </row>
    <row r="98" spans="2:11" ht="25.5">
      <c r="B98" s="1033"/>
      <c r="C98" s="890"/>
      <c r="D98" s="829" t="s">
        <v>2802</v>
      </c>
      <c r="E98" s="4"/>
      <c r="F98" s="4"/>
      <c r="G98" s="4"/>
      <c r="H98" s="4"/>
      <c r="I98" s="4"/>
      <c r="J98" s="4"/>
      <c r="K98" s="4"/>
    </row>
    <row r="99" spans="2:11" ht="37.5">
      <c r="B99" s="1033"/>
      <c r="C99" s="890"/>
      <c r="D99" s="829" t="s">
        <v>2803</v>
      </c>
      <c r="E99" s="4"/>
      <c r="F99" s="4"/>
      <c r="G99" s="4"/>
      <c r="H99" s="4"/>
      <c r="I99" s="4"/>
      <c r="J99" s="4"/>
      <c r="K99" s="4"/>
    </row>
    <row r="100" spans="2:11">
      <c r="B100" s="1033"/>
      <c r="C100" s="890"/>
      <c r="D100" s="44" t="s">
        <v>2804</v>
      </c>
      <c r="E100" s="4"/>
      <c r="F100" s="4"/>
      <c r="G100" s="4"/>
      <c r="H100" s="4"/>
      <c r="I100" s="4"/>
      <c r="J100" s="4"/>
      <c r="K100" s="4"/>
    </row>
    <row r="101" spans="2:11" ht="72">
      <c r="B101" s="1033"/>
      <c r="C101" s="890"/>
      <c r="D101" s="829" t="s">
        <v>2805</v>
      </c>
      <c r="E101" s="4"/>
      <c r="F101" s="4"/>
      <c r="G101" s="4"/>
      <c r="H101" s="4"/>
      <c r="I101" s="4"/>
      <c r="J101" s="4"/>
      <c r="K101" s="4"/>
    </row>
    <row r="102" spans="2:11" ht="36">
      <c r="B102" s="1033"/>
      <c r="C102" s="890"/>
      <c r="D102" s="836" t="s">
        <v>2770</v>
      </c>
      <c r="E102" s="4"/>
      <c r="F102" s="4"/>
      <c r="G102" s="4"/>
      <c r="H102" s="4"/>
      <c r="I102" s="4"/>
      <c r="J102" s="4"/>
      <c r="K102" s="4"/>
    </row>
    <row r="103" spans="2:11">
      <c r="B103" s="1033"/>
      <c r="C103" s="890"/>
      <c r="D103" s="826"/>
      <c r="E103" s="4"/>
      <c r="F103" s="4"/>
      <c r="G103" s="4"/>
      <c r="H103" s="4"/>
      <c r="I103" s="4"/>
      <c r="J103" s="4"/>
      <c r="K103" s="4"/>
    </row>
    <row r="104" spans="2:11">
      <c r="B104" s="1033"/>
      <c r="C104" s="890"/>
      <c r="D104" s="829" t="s">
        <v>1562</v>
      </c>
      <c r="E104" s="4"/>
      <c r="F104" s="4"/>
      <c r="G104" s="4"/>
      <c r="H104" s="4"/>
      <c r="I104" s="4"/>
      <c r="J104" s="4"/>
      <c r="K104" s="4"/>
    </row>
    <row r="105" spans="2:11" ht="49.5">
      <c r="B105" s="1033"/>
      <c r="C105" s="890"/>
      <c r="D105" s="829" t="s">
        <v>2806</v>
      </c>
      <c r="E105" s="4"/>
      <c r="F105" s="4"/>
      <c r="G105" s="4"/>
      <c r="H105" s="4"/>
      <c r="I105" s="4"/>
      <c r="J105" s="4"/>
      <c r="K105" s="4"/>
    </row>
    <row r="106" spans="2:11" ht="49.5">
      <c r="B106" s="1033"/>
      <c r="C106" s="890"/>
      <c r="D106" s="829" t="s">
        <v>2807</v>
      </c>
      <c r="E106" s="4"/>
      <c r="F106" s="4"/>
      <c r="G106" s="4"/>
      <c r="H106" s="4"/>
      <c r="I106" s="4"/>
      <c r="J106" s="4"/>
      <c r="K106" s="4"/>
    </row>
    <row r="107" spans="2:11" ht="37.5">
      <c r="B107" s="1033"/>
      <c r="C107" s="890"/>
      <c r="D107" s="829" t="s">
        <v>2808</v>
      </c>
      <c r="E107" s="4"/>
      <c r="F107" s="4"/>
      <c r="G107" s="4"/>
      <c r="H107" s="4"/>
      <c r="I107" s="4"/>
      <c r="J107" s="4"/>
      <c r="K107" s="4"/>
    </row>
    <row r="108" spans="2:11" ht="15.75" thickBot="1">
      <c r="B108" s="1034"/>
      <c r="C108" s="857"/>
      <c r="D108" s="845" t="s">
        <v>2809</v>
      </c>
      <c r="E108" s="4"/>
      <c r="F108" s="4"/>
      <c r="G108" s="4"/>
      <c r="H108" s="4"/>
      <c r="I108" s="4"/>
      <c r="J108" s="4"/>
      <c r="K108" s="4"/>
    </row>
    <row r="109" spans="2:11">
      <c r="B109" s="4"/>
      <c r="D109" s="4"/>
      <c r="E109" s="4"/>
      <c r="F109" s="4"/>
      <c r="G109" s="4"/>
      <c r="H109" s="4"/>
      <c r="I109" s="4"/>
      <c r="J109" s="4"/>
      <c r="K109" s="4"/>
    </row>
    <row r="110" spans="2:11">
      <c r="B110" s="4"/>
      <c r="D110" s="4"/>
      <c r="E110" s="4"/>
      <c r="F110" s="4"/>
      <c r="G110" s="4"/>
      <c r="H110" s="4"/>
      <c r="I110" s="4"/>
      <c r="J110" s="4"/>
      <c r="K110" s="4"/>
    </row>
    <row r="111" spans="2:11">
      <c r="B111" s="4"/>
      <c r="D111" s="4"/>
      <c r="E111" s="4"/>
      <c r="F111" s="4"/>
      <c r="G111" s="4"/>
      <c r="H111" s="4"/>
      <c r="I111" s="4"/>
      <c r="J111" s="4"/>
      <c r="K111" s="4"/>
    </row>
    <row r="112" spans="2:11">
      <c r="B112" s="4"/>
      <c r="D112" s="4"/>
      <c r="E112" s="4"/>
      <c r="F112" s="4"/>
      <c r="G112" s="4"/>
      <c r="H112" s="4"/>
      <c r="I112" s="4"/>
      <c r="J112" s="4"/>
      <c r="K112" s="4"/>
    </row>
    <row r="113" spans="2:11">
      <c r="B113" s="4"/>
      <c r="D113" s="4"/>
      <c r="E113" s="4"/>
      <c r="F113" s="4"/>
      <c r="G113" s="4"/>
      <c r="H113" s="4"/>
      <c r="I113" s="4"/>
      <c r="J113" s="4"/>
      <c r="K113" s="4"/>
    </row>
    <row r="114" spans="2:11">
      <c r="B114" s="4"/>
      <c r="D114" s="4"/>
      <c r="E114" s="4"/>
      <c r="F114" s="4"/>
      <c r="G114" s="4"/>
      <c r="H114" s="4"/>
      <c r="I114" s="4"/>
      <c r="J114" s="4"/>
      <c r="K114" s="4"/>
    </row>
    <row r="115" spans="2:11">
      <c r="B115" s="4"/>
      <c r="D115" s="4"/>
      <c r="E115" s="4"/>
      <c r="F115" s="4"/>
      <c r="G115" s="4"/>
      <c r="H115" s="4"/>
      <c r="I115" s="4"/>
      <c r="J115" s="4"/>
      <c r="K115" s="4"/>
    </row>
    <row r="116" spans="2:11">
      <c r="B116" s="4"/>
      <c r="D116" s="4"/>
      <c r="E116" s="4"/>
      <c r="F116" s="4"/>
      <c r="G116" s="4"/>
      <c r="H116" s="4"/>
      <c r="I116" s="4"/>
      <c r="J116" s="4"/>
      <c r="K116" s="4"/>
    </row>
    <row r="117" spans="2:11">
      <c r="B117" s="4"/>
      <c r="D117" s="4"/>
      <c r="E117" s="4"/>
      <c r="F117" s="4"/>
      <c r="G117" s="4"/>
      <c r="H117" s="4"/>
      <c r="I117" s="4"/>
      <c r="J117" s="4"/>
      <c r="K117" s="4"/>
    </row>
    <row r="118" spans="2:11">
      <c r="B118" s="4"/>
      <c r="D118" s="4"/>
      <c r="E118" s="4"/>
      <c r="F118" s="4"/>
      <c r="G118" s="4"/>
      <c r="H118" s="4"/>
      <c r="I118" s="4"/>
      <c r="J118" s="4"/>
      <c r="K118" s="4"/>
    </row>
    <row r="119" spans="2:11">
      <c r="B119" s="4"/>
      <c r="D119" s="4"/>
      <c r="E119" s="4"/>
      <c r="F119" s="4"/>
      <c r="G119" s="4"/>
      <c r="H119" s="4"/>
      <c r="I119" s="4"/>
      <c r="J119" s="4"/>
      <c r="K119" s="4"/>
    </row>
    <row r="120" spans="2:11">
      <c r="B120" s="4"/>
      <c r="D120" s="4"/>
      <c r="E120" s="4"/>
      <c r="F120" s="4"/>
      <c r="G120" s="4"/>
      <c r="H120" s="4"/>
      <c r="I120" s="4"/>
      <c r="J120" s="4"/>
      <c r="K120" s="4"/>
    </row>
    <row r="121" spans="2:11">
      <c r="B121" s="4"/>
      <c r="D121" s="4"/>
      <c r="E121" s="4"/>
      <c r="F121" s="4"/>
      <c r="G121" s="4"/>
      <c r="H121" s="4"/>
      <c r="I121" s="4"/>
      <c r="J121" s="4"/>
      <c r="K121" s="4"/>
    </row>
    <row r="122" spans="2:11">
      <c r="B122" s="4"/>
      <c r="D122" s="4"/>
      <c r="E122" s="4"/>
      <c r="F122" s="4"/>
      <c r="G122" s="4"/>
      <c r="H122" s="4"/>
      <c r="I122" s="4"/>
      <c r="J122" s="4"/>
      <c r="K122" s="4"/>
    </row>
    <row r="123" spans="2:11">
      <c r="B123" s="4"/>
      <c r="D123" s="4"/>
      <c r="E123" s="4"/>
      <c r="F123" s="4"/>
      <c r="G123" s="4"/>
      <c r="H123" s="4"/>
      <c r="I123" s="4"/>
      <c r="J123" s="4"/>
      <c r="K123" s="4"/>
    </row>
    <row r="124" spans="2:11">
      <c r="B124" s="4"/>
      <c r="D124" s="4"/>
      <c r="E124" s="4"/>
      <c r="F124" s="4"/>
      <c r="G124" s="4"/>
      <c r="H124" s="4"/>
      <c r="I124" s="4"/>
      <c r="J124" s="4"/>
      <c r="K124" s="4"/>
    </row>
    <row r="125" spans="2:11">
      <c r="B125" s="4"/>
      <c r="D125" s="4"/>
      <c r="E125" s="4"/>
      <c r="F125" s="4"/>
      <c r="G125" s="4"/>
      <c r="H125" s="4"/>
      <c r="I125" s="4"/>
      <c r="J125" s="4"/>
      <c r="K125" s="4"/>
    </row>
    <row r="126" spans="2:11">
      <c r="B126" s="4"/>
      <c r="D126" s="4"/>
      <c r="E126" s="4"/>
      <c r="F126" s="4"/>
      <c r="G126" s="4"/>
      <c r="H126" s="4"/>
      <c r="I126" s="4"/>
      <c r="J126" s="4"/>
      <c r="K126" s="4"/>
    </row>
    <row r="127" spans="2:11">
      <c r="B127" s="4"/>
      <c r="D127" s="4"/>
      <c r="E127" s="4"/>
      <c r="F127" s="4"/>
      <c r="G127" s="4"/>
      <c r="H127" s="4"/>
      <c r="I127" s="4"/>
      <c r="J127" s="4"/>
      <c r="K127" s="4"/>
    </row>
    <row r="128" spans="2:11">
      <c r="B128" s="4"/>
      <c r="D128" s="4"/>
      <c r="E128" s="4"/>
      <c r="F128" s="4"/>
      <c r="G128" s="4"/>
      <c r="H128" s="4"/>
      <c r="I128" s="4"/>
      <c r="J128" s="4"/>
      <c r="K128" s="4"/>
    </row>
    <row r="129" spans="2:11">
      <c r="B129" s="4"/>
      <c r="D129" s="4"/>
      <c r="E129" s="4"/>
      <c r="F129" s="4"/>
      <c r="G129" s="4"/>
      <c r="H129" s="4"/>
      <c r="I129" s="4"/>
      <c r="J129" s="4"/>
      <c r="K129" s="4"/>
    </row>
    <row r="130" spans="2:11">
      <c r="B130" s="4"/>
      <c r="D130" s="4"/>
      <c r="E130" s="4"/>
      <c r="F130" s="4"/>
      <c r="G130" s="4"/>
      <c r="H130" s="4"/>
      <c r="I130" s="4"/>
      <c r="J130" s="4"/>
      <c r="K130" s="4"/>
    </row>
    <row r="131" spans="2:11">
      <c r="B131" s="4"/>
      <c r="D131" s="4"/>
      <c r="E131" s="4"/>
      <c r="F131" s="4"/>
      <c r="G131" s="4"/>
      <c r="H131" s="4"/>
      <c r="I131" s="4"/>
      <c r="J131" s="4"/>
      <c r="K131" s="4"/>
    </row>
    <row r="132" spans="2:11">
      <c r="B132" s="4"/>
      <c r="D132" s="4"/>
      <c r="E132" s="4"/>
      <c r="F132" s="4"/>
      <c r="G132" s="4"/>
      <c r="H132" s="4"/>
      <c r="I132" s="4"/>
      <c r="J132" s="4"/>
      <c r="K132" s="4"/>
    </row>
    <row r="133" spans="2:11">
      <c r="B133" s="4"/>
      <c r="D133" s="4"/>
      <c r="E133" s="4"/>
      <c r="F133" s="4"/>
      <c r="G133" s="4"/>
      <c r="H133" s="4"/>
      <c r="I133" s="4"/>
      <c r="J133" s="4"/>
      <c r="K133" s="4"/>
    </row>
    <row r="134" spans="2:11">
      <c r="B134" s="4"/>
      <c r="D134" s="4"/>
      <c r="E134" s="4"/>
      <c r="F134" s="4"/>
      <c r="G134" s="4"/>
      <c r="H134" s="4"/>
      <c r="I134" s="4"/>
      <c r="J134" s="4"/>
      <c r="K134" s="4"/>
    </row>
    <row r="135" spans="2:11">
      <c r="B135" s="4"/>
      <c r="D135" s="4"/>
      <c r="E135" s="4"/>
      <c r="F135" s="4"/>
      <c r="G135" s="4"/>
      <c r="H135" s="4"/>
      <c r="I135" s="4"/>
      <c r="J135" s="4"/>
      <c r="K135" s="4"/>
    </row>
    <row r="136" spans="2:11">
      <c r="B136" s="4"/>
      <c r="D136" s="4"/>
      <c r="E136" s="4"/>
      <c r="F136" s="4"/>
      <c r="G136" s="4"/>
      <c r="H136" s="4"/>
      <c r="I136" s="4"/>
      <c r="J136" s="4"/>
      <c r="K136" s="4"/>
    </row>
    <row r="137" spans="2:11">
      <c r="B137" s="4"/>
      <c r="D137" s="4"/>
      <c r="E137" s="4"/>
      <c r="F137" s="4"/>
      <c r="G137" s="4"/>
      <c r="H137" s="4"/>
      <c r="I137" s="4"/>
      <c r="J137" s="4"/>
      <c r="K137" s="4"/>
    </row>
    <row r="138" spans="2:11">
      <c r="B138" s="4"/>
      <c r="D138" s="4"/>
      <c r="E138" s="4"/>
      <c r="F138" s="4"/>
      <c r="G138" s="4"/>
      <c r="H138" s="4"/>
      <c r="I138" s="4"/>
      <c r="J138" s="4"/>
      <c r="K138" s="4"/>
    </row>
    <row r="139" spans="2:11">
      <c r="B139" s="4"/>
      <c r="D139" s="4"/>
      <c r="E139" s="4"/>
      <c r="F139" s="4"/>
      <c r="G139" s="4"/>
      <c r="H139" s="4"/>
      <c r="I139" s="4"/>
      <c r="J139" s="4"/>
      <c r="K139" s="4"/>
    </row>
    <row r="140" spans="2:11">
      <c r="B140" s="4"/>
      <c r="D140" s="4"/>
      <c r="E140" s="4"/>
      <c r="F140" s="4"/>
      <c r="G140" s="4"/>
      <c r="H140" s="4"/>
      <c r="I140" s="4"/>
      <c r="J140" s="4"/>
      <c r="K140" s="4"/>
    </row>
    <row r="141" spans="2:11">
      <c r="B141" s="4"/>
      <c r="D141" s="4"/>
      <c r="E141" s="4"/>
      <c r="F141" s="4"/>
      <c r="G141" s="4"/>
      <c r="H141" s="4"/>
      <c r="I141" s="4"/>
      <c r="J141" s="4"/>
      <c r="K141" s="4"/>
    </row>
    <row r="142" spans="2:11">
      <c r="B142" s="4"/>
      <c r="D142" s="4"/>
      <c r="E142" s="4"/>
      <c r="F142" s="4"/>
      <c r="G142" s="4"/>
      <c r="H142" s="4"/>
      <c r="I142" s="4"/>
      <c r="J142" s="4"/>
      <c r="K142" s="4"/>
    </row>
    <row r="143" spans="2:11">
      <c r="B143" s="4"/>
      <c r="D143" s="4"/>
      <c r="E143" s="4"/>
      <c r="F143" s="4"/>
      <c r="G143" s="4"/>
      <c r="H143" s="4"/>
      <c r="I143" s="4"/>
      <c r="J143" s="4"/>
      <c r="K143" s="4"/>
    </row>
    <row r="144" spans="2:11">
      <c r="B144" s="4"/>
      <c r="D144" s="4"/>
      <c r="E144" s="4"/>
      <c r="F144" s="4"/>
      <c r="G144" s="4"/>
      <c r="H144" s="4"/>
      <c r="I144" s="4"/>
      <c r="J144" s="4"/>
      <c r="K144" s="4"/>
    </row>
    <row r="145" spans="2:11">
      <c r="B145" s="4"/>
      <c r="D145" s="4"/>
      <c r="E145" s="4"/>
      <c r="F145" s="4"/>
      <c r="G145" s="4"/>
      <c r="H145" s="4"/>
      <c r="I145" s="4"/>
      <c r="J145" s="4"/>
      <c r="K145" s="4"/>
    </row>
    <row r="146" spans="2:11">
      <c r="B146" s="4"/>
      <c r="D146" s="4"/>
      <c r="E146" s="4"/>
      <c r="F146" s="4"/>
      <c r="G146" s="4"/>
      <c r="H146" s="4"/>
      <c r="I146" s="4"/>
      <c r="J146" s="4"/>
      <c r="K146" s="4"/>
    </row>
    <row r="147" spans="2:11">
      <c r="B147" s="4"/>
      <c r="D147" s="4"/>
      <c r="E147" s="4"/>
      <c r="F147" s="4"/>
      <c r="G147" s="4"/>
      <c r="H147" s="4"/>
      <c r="I147" s="4"/>
      <c r="J147" s="4"/>
      <c r="K147" s="4"/>
    </row>
    <row r="148" spans="2:11">
      <c r="B148" s="4"/>
      <c r="D148" s="4"/>
      <c r="E148" s="4"/>
      <c r="F148" s="4"/>
      <c r="G148" s="4"/>
      <c r="H148" s="4"/>
      <c r="I148" s="4"/>
      <c r="J148" s="4"/>
      <c r="K148" s="4"/>
    </row>
    <row r="149" spans="2:11">
      <c r="B149" s="4"/>
      <c r="D149" s="4"/>
      <c r="E149" s="4"/>
      <c r="F149" s="4"/>
      <c r="G149" s="4"/>
      <c r="H149" s="4"/>
      <c r="I149" s="4"/>
      <c r="J149" s="4"/>
      <c r="K149" s="4"/>
    </row>
    <row r="150" spans="2:11">
      <c r="B150" s="4"/>
      <c r="D150" s="4"/>
      <c r="E150" s="4"/>
      <c r="F150" s="4"/>
      <c r="G150" s="4"/>
      <c r="H150" s="4"/>
      <c r="I150" s="4"/>
      <c r="J150" s="4"/>
      <c r="K150" s="4"/>
    </row>
    <row r="151" spans="2:11">
      <c r="B151" s="4"/>
      <c r="D151" s="4"/>
      <c r="E151" s="4"/>
      <c r="F151" s="4"/>
      <c r="G151" s="4"/>
      <c r="H151" s="4"/>
      <c r="I151" s="4"/>
      <c r="J151" s="4"/>
      <c r="K151" s="4"/>
    </row>
    <row r="152" spans="2:11">
      <c r="B152" s="4"/>
      <c r="D152" s="4"/>
      <c r="E152" s="4"/>
      <c r="F152" s="4"/>
      <c r="G152" s="4"/>
      <c r="H152" s="4"/>
      <c r="I152" s="4"/>
      <c r="J152" s="4"/>
      <c r="K152" s="4"/>
    </row>
    <row r="153" spans="2:11">
      <c r="B153" s="4"/>
      <c r="D153" s="4"/>
      <c r="E153" s="4"/>
      <c r="F153" s="4"/>
      <c r="G153" s="4"/>
      <c r="H153" s="4"/>
      <c r="I153" s="4"/>
      <c r="J153" s="4"/>
      <c r="K153" s="4"/>
    </row>
    <row r="154" spans="2:11">
      <c r="B154" s="4"/>
      <c r="D154" s="4"/>
      <c r="E154" s="4"/>
      <c r="F154" s="4"/>
      <c r="G154" s="4"/>
      <c r="H154" s="4"/>
      <c r="I154" s="4"/>
      <c r="J154" s="4"/>
      <c r="K154" s="4"/>
    </row>
    <row r="155" spans="2:11">
      <c r="B155" s="4"/>
      <c r="D155" s="4"/>
      <c r="E155" s="4"/>
      <c r="F155" s="4"/>
      <c r="G155" s="4"/>
      <c r="H155" s="4"/>
      <c r="I155" s="4"/>
      <c r="J155" s="4"/>
      <c r="K155" s="4"/>
    </row>
    <row r="156" spans="2:11">
      <c r="B156" s="4"/>
      <c r="D156" s="4"/>
      <c r="E156" s="4"/>
      <c r="F156" s="4"/>
      <c r="G156" s="4"/>
      <c r="H156" s="4"/>
      <c r="I156" s="4"/>
      <c r="J156" s="4"/>
      <c r="K156" s="4"/>
    </row>
    <row r="157" spans="2:11">
      <c r="B157" s="4"/>
      <c r="D157" s="4"/>
      <c r="E157" s="4"/>
      <c r="F157" s="4"/>
      <c r="G157" s="4"/>
      <c r="H157" s="4"/>
      <c r="I157" s="4"/>
      <c r="J157" s="4"/>
      <c r="K157" s="4"/>
    </row>
    <row r="158" spans="2:11">
      <c r="B158" s="4"/>
      <c r="D158" s="4"/>
      <c r="E158" s="4"/>
      <c r="F158" s="4"/>
      <c r="G158" s="4"/>
      <c r="H158" s="4"/>
      <c r="I158" s="4"/>
      <c r="J158" s="4"/>
      <c r="K158" s="4"/>
    </row>
    <row r="159" spans="2:11">
      <c r="B159" s="4"/>
      <c r="D159" s="4"/>
      <c r="E159" s="4"/>
      <c r="F159" s="4"/>
      <c r="G159" s="4"/>
      <c r="H159" s="4"/>
      <c r="I159" s="4"/>
      <c r="J159" s="4"/>
      <c r="K159" s="4"/>
    </row>
    <row r="160" spans="2:11">
      <c r="B160" s="4"/>
      <c r="D160" s="4"/>
      <c r="E160" s="4"/>
      <c r="F160" s="4"/>
      <c r="G160" s="4"/>
      <c r="H160" s="4"/>
      <c r="I160" s="4"/>
      <c r="J160" s="4"/>
      <c r="K160" s="4"/>
    </row>
    <row r="161" spans="2:11">
      <c r="B161" s="4"/>
      <c r="D161" s="4"/>
      <c r="E161" s="4"/>
      <c r="F161" s="4"/>
      <c r="G161" s="4"/>
      <c r="H161" s="4"/>
      <c r="I161" s="4"/>
      <c r="J161" s="4"/>
      <c r="K161" s="4"/>
    </row>
    <row r="162" spans="2:11">
      <c r="B162" s="4"/>
      <c r="D162" s="4"/>
      <c r="E162" s="4"/>
      <c r="F162" s="4"/>
      <c r="G162" s="4"/>
      <c r="H162" s="4"/>
      <c r="I162" s="4"/>
      <c r="J162" s="4"/>
      <c r="K162" s="4"/>
    </row>
    <row r="163" spans="2:11">
      <c r="B163" s="4"/>
      <c r="D163" s="4"/>
      <c r="E163" s="4"/>
      <c r="F163" s="4"/>
      <c r="G163" s="4"/>
      <c r="H163" s="4"/>
      <c r="I163" s="4"/>
      <c r="J163" s="4"/>
      <c r="K163" s="4"/>
    </row>
    <row r="164" spans="2:11">
      <c r="B164" s="4"/>
      <c r="D164" s="4"/>
      <c r="E164" s="4"/>
      <c r="F164" s="4"/>
      <c r="G164" s="4"/>
      <c r="H164" s="4"/>
      <c r="I164" s="4"/>
      <c r="J164" s="4"/>
      <c r="K164" s="4"/>
    </row>
    <row r="165" spans="2:11">
      <c r="B165" s="4"/>
      <c r="D165" s="4"/>
      <c r="E165" s="4"/>
      <c r="F165" s="4"/>
      <c r="G165" s="4"/>
      <c r="H165" s="4"/>
      <c r="I165" s="4"/>
      <c r="J165" s="4"/>
      <c r="K165" s="4"/>
    </row>
    <row r="166" spans="2:11">
      <c r="B166" s="4"/>
      <c r="D166" s="4"/>
      <c r="E166" s="4"/>
      <c r="F166" s="4"/>
      <c r="G166" s="4"/>
      <c r="H166" s="4"/>
      <c r="I166" s="4"/>
      <c r="J166" s="4"/>
      <c r="K166" s="4"/>
    </row>
    <row r="167" spans="2:11">
      <c r="B167" s="4"/>
      <c r="D167" s="4"/>
      <c r="E167" s="4"/>
      <c r="F167" s="4"/>
      <c r="G167" s="4"/>
      <c r="H167" s="4"/>
      <c r="I167" s="4"/>
      <c r="J167" s="4"/>
      <c r="K167" s="4"/>
    </row>
    <row r="168" spans="2:11">
      <c r="B168" s="4"/>
      <c r="D168" s="4"/>
      <c r="E168" s="4"/>
      <c r="F168" s="4"/>
      <c r="G168" s="4"/>
      <c r="H168" s="4"/>
      <c r="I168" s="4"/>
      <c r="J168" s="4"/>
      <c r="K168" s="4"/>
    </row>
    <row r="169" spans="2:11">
      <c r="B169" s="4"/>
      <c r="D169" s="4"/>
      <c r="E169" s="4"/>
      <c r="F169" s="4"/>
      <c r="G169" s="4"/>
      <c r="H169" s="4"/>
      <c r="I169" s="4"/>
      <c r="J169" s="4"/>
      <c r="K169" s="4"/>
    </row>
    <row r="170" spans="2:11">
      <c r="B170" s="4"/>
      <c r="D170" s="4"/>
      <c r="E170" s="4"/>
      <c r="F170" s="4"/>
      <c r="G170" s="4"/>
      <c r="H170" s="4"/>
      <c r="I170" s="4"/>
      <c r="J170" s="4"/>
      <c r="K170" s="4"/>
    </row>
    <row r="171" spans="2:11">
      <c r="B171" s="4"/>
      <c r="D171" s="4"/>
      <c r="E171" s="4"/>
      <c r="F171" s="4"/>
      <c r="G171" s="4"/>
      <c r="H171" s="4"/>
      <c r="I171" s="4"/>
      <c r="J171" s="4"/>
      <c r="K171" s="4"/>
    </row>
    <row r="172" spans="2:11">
      <c r="B172" s="4"/>
      <c r="D172" s="4"/>
      <c r="E172" s="4"/>
      <c r="F172" s="4"/>
      <c r="G172" s="4"/>
      <c r="H172" s="4"/>
      <c r="I172" s="4"/>
      <c r="J172" s="4"/>
      <c r="K172" s="4"/>
    </row>
    <row r="173" spans="2:11">
      <c r="B173" s="4"/>
      <c r="D173" s="4"/>
      <c r="E173" s="4"/>
      <c r="F173" s="4"/>
      <c r="G173" s="4"/>
      <c r="H173" s="4"/>
      <c r="I173" s="4"/>
      <c r="J173" s="4"/>
      <c r="K173" s="4"/>
    </row>
    <row r="174" spans="2:11">
      <c r="B174" s="4"/>
      <c r="D174" s="4"/>
      <c r="E174" s="4"/>
      <c r="F174" s="4"/>
      <c r="G174" s="4"/>
      <c r="H174" s="4"/>
      <c r="I174" s="4"/>
      <c r="J174" s="4"/>
      <c r="K174" s="4"/>
    </row>
    <row r="175" spans="2:11">
      <c r="B175" s="4"/>
      <c r="D175" s="4"/>
      <c r="E175" s="4"/>
      <c r="F175" s="4"/>
      <c r="G175" s="4"/>
      <c r="H175" s="4"/>
      <c r="I175" s="4"/>
      <c r="J175" s="4"/>
      <c r="K175" s="4"/>
    </row>
    <row r="176" spans="2:11">
      <c r="B176" s="4"/>
      <c r="D176" s="4"/>
      <c r="E176" s="4"/>
      <c r="F176" s="4"/>
      <c r="G176" s="4"/>
      <c r="H176" s="4"/>
      <c r="I176" s="4"/>
      <c r="J176" s="4"/>
      <c r="K176" s="4"/>
    </row>
    <row r="177" spans="2:11">
      <c r="B177" s="4"/>
      <c r="D177" s="4"/>
      <c r="E177" s="4"/>
      <c r="F177" s="4"/>
      <c r="G177" s="4"/>
      <c r="H177" s="4"/>
      <c r="I177" s="4"/>
      <c r="J177" s="4"/>
      <c r="K177" s="4"/>
    </row>
    <row r="178" spans="2:11">
      <c r="B178" s="4"/>
      <c r="D178" s="4"/>
      <c r="E178" s="4"/>
      <c r="F178" s="4"/>
      <c r="G178" s="4"/>
      <c r="H178" s="4"/>
      <c r="I178" s="4"/>
      <c r="J178" s="4"/>
      <c r="K178" s="4"/>
    </row>
    <row r="179" spans="2:11">
      <c r="B179" s="4"/>
      <c r="D179" s="4"/>
      <c r="E179" s="4"/>
      <c r="F179" s="4"/>
      <c r="G179" s="4"/>
      <c r="H179" s="4"/>
      <c r="I179" s="4"/>
      <c r="J179" s="4"/>
      <c r="K179" s="4"/>
    </row>
    <row r="180" spans="2:11">
      <c r="B180" s="4"/>
      <c r="D180" s="4"/>
      <c r="E180" s="4"/>
      <c r="F180" s="4"/>
      <c r="G180" s="4"/>
      <c r="H180" s="4"/>
      <c r="I180" s="4"/>
      <c r="J180" s="4"/>
      <c r="K180" s="4"/>
    </row>
    <row r="181" spans="2:11">
      <c r="B181" s="4"/>
      <c r="D181" s="4"/>
      <c r="E181" s="4"/>
      <c r="F181" s="4"/>
      <c r="G181" s="4"/>
      <c r="H181" s="4"/>
      <c r="I181" s="4"/>
      <c r="J181" s="4"/>
      <c r="K181" s="4"/>
    </row>
    <row r="182" spans="2:11">
      <c r="B182" s="4"/>
      <c r="D182" s="4"/>
      <c r="E182" s="4"/>
      <c r="F182" s="4"/>
      <c r="G182" s="4"/>
      <c r="H182" s="4"/>
      <c r="I182" s="4"/>
      <c r="J182" s="4"/>
      <c r="K182" s="4"/>
    </row>
    <row r="183" spans="2:11">
      <c r="B183" s="4"/>
      <c r="D183" s="4"/>
      <c r="E183" s="4"/>
      <c r="F183" s="4"/>
      <c r="G183" s="4"/>
      <c r="H183" s="4"/>
      <c r="I183" s="4"/>
      <c r="J183" s="4"/>
      <c r="K183" s="4"/>
    </row>
  </sheetData>
  <mergeCells count="27">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 ref="G25:H26"/>
    <mergeCell ref="A1:P1"/>
    <mergeCell ref="A2:P2"/>
    <mergeCell ref="A3:P3"/>
    <mergeCell ref="A4:D4"/>
    <mergeCell ref="A5:P5"/>
    <mergeCell ref="B10:D10"/>
    <mergeCell ref="F10:S10"/>
    <mergeCell ref="F11:S11"/>
    <mergeCell ref="E12:R12"/>
    <mergeCell ref="E13:R13"/>
  </mergeCells>
  <conditionalFormatting sqref="F10">
    <cfRule type="notContainsBlanks" dxfId="20" priority="4">
      <formula>LEN(TRIM(F10))&gt;0</formula>
    </cfRule>
  </conditionalFormatting>
  <conditionalFormatting sqref="F11:S11">
    <cfRule type="expression" dxfId="19" priority="2">
      <formula>E11="NO SE REPORTA"</formula>
    </cfRule>
    <cfRule type="expression" dxfId="18" priority="3">
      <formula>E10="NO APLICA"</formula>
    </cfRule>
  </conditionalFormatting>
  <conditionalFormatting sqref="E12:R12">
    <cfRule type="expression" dxfId="1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xr:uid="{00000000-0002-0000-2200-000000000000}">
      <formula1>0</formula1>
    </dataValidation>
    <dataValidation allowBlank="1" showInputMessage="1" showErrorMessage="1" promptTitle="OJO" prompt="NO TOCAR" sqref="E21:G21 E27:F27" xr:uid="{00000000-0002-0000-2200-000001000000}"/>
    <dataValidation type="list" allowBlank="1" showInputMessage="1" showErrorMessage="1" sqref="E11" xr:uid="{00000000-0002-0000-2200-000002000000}">
      <formula1>REPORTE</formula1>
    </dataValidation>
    <dataValidation type="list" allowBlank="1" showInputMessage="1" showErrorMessage="1" sqref="E10" xr:uid="{00000000-0002-0000-2200-000003000000}">
      <formula1>SI</formula1>
    </dataValidation>
  </dataValidations>
  <hyperlinks>
    <hyperlink ref="D75" r:id="rId1" display="http://www.sisaire.gov.co/" xr:uid="{00000000-0004-0000-2200-000000000000}"/>
    <hyperlink ref="D76" r:id="rId2" display="http://www.sirh.ideam.gov.co/" xr:uid="{00000000-0004-0000-2200-000001000000}"/>
    <hyperlink ref="B9" location="'ANEXO 3'!A1" display="VOLVER AL INDICE" xr:uid="{00000000-0004-0000-2200-000002000000}"/>
    <hyperlink ref="E41" r:id="rId3" xr:uid="{00000000-0004-0000-2200-000003000000}"/>
  </hyperlinks>
  <pageMargins left="0.25" right="0.25" top="0.75" bottom="0.75" header="0.3" footer="0.3"/>
  <pageSetup paperSize="178" orientation="landscape" horizontalDpi="1200" verticalDpi="1200" r:id="rId4"/>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U134"/>
  <sheetViews>
    <sheetView showGridLines="0" topLeftCell="A34" zoomScale="98" zoomScaleNormal="98" workbookViewId="0">
      <selection activeCell="G41" sqref="G41"/>
    </sheetView>
  </sheetViews>
  <sheetFormatPr defaultColWidth="10.7109375" defaultRowHeight="15"/>
  <cols>
    <col min="1" max="1" width="1.85546875" style="241" customWidth="1"/>
    <col min="2" max="2" width="11.140625" style="241" customWidth="1"/>
    <col min="3" max="3" width="5" style="63" bestFit="1" customWidth="1"/>
    <col min="4" max="4" width="34.85546875" style="241" customWidth="1"/>
    <col min="5" max="5" width="12.140625" style="241" customWidth="1"/>
    <col min="6" max="6" width="12.5703125" style="241" customWidth="1"/>
    <col min="7" max="7" width="13.42578125" style="241" customWidth="1"/>
    <col min="8" max="8" width="14.140625" style="241" customWidth="1"/>
    <col min="9" max="9" width="13.85546875" style="241" customWidth="1"/>
    <col min="10" max="16384" width="10.7109375" style="241"/>
  </cols>
  <sheetData>
    <row r="1" spans="1:21" s="700" customFormat="1" ht="100.5" customHeight="1" thickBot="1">
      <c r="A1" s="992"/>
      <c r="B1" s="993"/>
      <c r="C1" s="993"/>
      <c r="D1" s="993"/>
      <c r="E1" s="993"/>
      <c r="F1" s="993"/>
      <c r="G1" s="993"/>
      <c r="H1" s="993"/>
      <c r="I1" s="993"/>
      <c r="J1" s="993"/>
      <c r="K1" s="993"/>
      <c r="L1" s="993"/>
      <c r="M1" s="993"/>
      <c r="N1" s="993"/>
      <c r="O1" s="993"/>
      <c r="P1" s="994"/>
      <c r="Q1" s="241"/>
      <c r="R1" s="241"/>
    </row>
    <row r="2" spans="1:21" s="701" customFormat="1" ht="16.5" thickBot="1">
      <c r="A2" s="1000" t="str">
        <f>'[1]Datos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21" s="701" customFormat="1" ht="16.5" thickBot="1">
      <c r="A3" s="995" t="s">
        <v>1401</v>
      </c>
      <c r="B3" s="996"/>
      <c r="C3" s="996"/>
      <c r="D3" s="996"/>
      <c r="E3" s="996"/>
      <c r="F3" s="996"/>
      <c r="G3" s="996"/>
      <c r="H3" s="996"/>
      <c r="I3" s="996"/>
      <c r="J3" s="996"/>
      <c r="K3" s="996"/>
      <c r="L3" s="996"/>
      <c r="M3" s="996"/>
      <c r="N3" s="996"/>
      <c r="O3" s="996"/>
      <c r="P3" s="997"/>
      <c r="Q3" s="241"/>
      <c r="R3" s="241"/>
    </row>
    <row r="4" spans="1:21" s="701" customFormat="1" ht="16.5" thickBot="1">
      <c r="A4" s="998" t="s">
        <v>55</v>
      </c>
      <c r="B4" s="999"/>
      <c r="C4" s="999"/>
      <c r="D4" s="999"/>
      <c r="E4" s="370" t="str">
        <f>'[1]Datos Generales'!C6</f>
        <v>2020-II</v>
      </c>
      <c r="F4" s="370"/>
      <c r="G4" s="370"/>
      <c r="H4" s="370"/>
      <c r="I4" s="370"/>
      <c r="J4" s="370"/>
      <c r="K4" s="370"/>
      <c r="L4" s="372"/>
      <c r="M4" s="372"/>
      <c r="N4" s="372"/>
      <c r="O4" s="372"/>
      <c r="P4" s="373"/>
      <c r="Q4" s="241"/>
      <c r="R4" s="241"/>
    </row>
    <row r="5" spans="1:21" ht="16.5" customHeight="1" thickBot="1">
      <c r="A5" s="995" t="s">
        <v>762</v>
      </c>
      <c r="B5" s="996"/>
      <c r="C5" s="996"/>
      <c r="D5" s="996"/>
      <c r="E5" s="996"/>
      <c r="F5" s="996"/>
      <c r="G5" s="996"/>
      <c r="H5" s="996"/>
      <c r="I5" s="996"/>
      <c r="J5" s="996"/>
      <c r="K5" s="996"/>
      <c r="L5" s="996"/>
      <c r="M5" s="996"/>
      <c r="N5" s="996"/>
      <c r="O5" s="996"/>
      <c r="P5" s="997"/>
    </row>
    <row r="6" spans="1:21">
      <c r="B6" s="1" t="s">
        <v>1437</v>
      </c>
      <c r="C6" s="55"/>
      <c r="D6" s="4"/>
      <c r="E6" s="53"/>
      <c r="F6" s="4" t="s">
        <v>1438</v>
      </c>
      <c r="G6" s="4"/>
      <c r="H6" s="4"/>
      <c r="I6" s="4"/>
      <c r="J6" s="4"/>
      <c r="K6" s="4"/>
    </row>
    <row r="7" spans="1:21" ht="15.75" thickBot="1">
      <c r="B7" s="702"/>
      <c r="C7" s="706"/>
      <c r="D7" s="4"/>
      <c r="E7" s="13"/>
      <c r="F7" s="4" t="s">
        <v>1439</v>
      </c>
      <c r="G7" s="4"/>
      <c r="H7" s="4"/>
      <c r="I7" s="4"/>
      <c r="J7" s="4"/>
      <c r="K7" s="4"/>
    </row>
    <row r="8" spans="1:21" ht="15.75" thickBot="1">
      <c r="B8" s="131" t="s">
        <v>1440</v>
      </c>
      <c r="C8" s="164">
        <v>2020</v>
      </c>
      <c r="D8" s="169">
        <f>IF(E10="NO APLICA","NO APLICA",IF(E11="NO SE REPORTA","SIN INFORMACION",+F52))</f>
        <v>0</v>
      </c>
      <c r="E8" s="165"/>
      <c r="F8" s="4" t="s">
        <v>1441</v>
      </c>
      <c r="G8" s="4"/>
      <c r="H8" s="4"/>
      <c r="I8" s="4"/>
      <c r="J8" s="4"/>
      <c r="K8" s="4"/>
    </row>
    <row r="9" spans="1:21">
      <c r="B9" s="322" t="s">
        <v>1442</v>
      </c>
      <c r="C9" s="64"/>
      <c r="D9" s="4"/>
      <c r="E9" s="4"/>
      <c r="F9" s="4"/>
      <c r="G9" s="4"/>
      <c r="H9" s="4"/>
      <c r="I9" s="4"/>
      <c r="J9" s="4"/>
      <c r="K9" s="4"/>
    </row>
    <row r="10" spans="1:21">
      <c r="B10" s="1053" t="s">
        <v>1443</v>
      </c>
      <c r="C10" s="1053"/>
      <c r="D10" s="1053"/>
      <c r="E10" s="306" t="s">
        <v>1444</v>
      </c>
      <c r="F10" s="106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1"/>
      <c r="H10" s="1061"/>
      <c r="I10" s="1061"/>
      <c r="J10" s="1061"/>
      <c r="K10" s="1061"/>
      <c r="L10" s="1061"/>
      <c r="M10" s="1061"/>
      <c r="N10" s="1061"/>
      <c r="O10" s="1061"/>
      <c r="P10" s="1061"/>
      <c r="Q10" s="1061"/>
      <c r="R10" s="1061"/>
      <c r="S10" s="1061"/>
      <c r="T10" s="4"/>
      <c r="U10" s="4"/>
    </row>
    <row r="11" spans="1:21" ht="14.45" customHeight="1">
      <c r="B11" s="323"/>
      <c r="C11" s="64"/>
      <c r="D11" s="132" t="str">
        <f>IF(E10="SI APLICA","¿El indicador no se reporta por limitaciones de información disponible? ","")</f>
        <v xml:space="preserve">¿El indicador no se reporta por limitaciones de información disponible? </v>
      </c>
      <c r="E11" s="307" t="s">
        <v>1445</v>
      </c>
      <c r="F11" s="1054"/>
      <c r="G11" s="1055"/>
      <c r="H11" s="1055"/>
      <c r="I11" s="1055"/>
      <c r="J11" s="1055"/>
      <c r="K11" s="1055"/>
      <c r="L11" s="1055"/>
      <c r="M11" s="1055"/>
      <c r="N11" s="1055"/>
      <c r="O11" s="1055"/>
      <c r="P11" s="1055"/>
      <c r="Q11" s="1055"/>
      <c r="R11" s="1055"/>
      <c r="S11" s="1055"/>
    </row>
    <row r="12" spans="1:21" ht="23.45" customHeight="1">
      <c r="B12" s="322"/>
      <c r="C12" s="64"/>
      <c r="D12" s="132" t="str">
        <f>IF(E11="SI SE REPORTA","¿Qué programas o proyectos del Plan de Acción están asociados al indicador? ","")</f>
        <v xml:space="preserve">¿Qué programas o proyectos del Plan de Acción están asociados al indicador? </v>
      </c>
      <c r="E12" s="1056" t="s">
        <v>2810</v>
      </c>
      <c r="F12" s="1056"/>
      <c r="G12" s="1056"/>
      <c r="H12" s="1056"/>
      <c r="I12" s="1056"/>
      <c r="J12" s="1056"/>
      <c r="K12" s="1056"/>
      <c r="L12" s="1056"/>
      <c r="M12" s="1056"/>
      <c r="N12" s="1056"/>
      <c r="O12" s="1056"/>
      <c r="P12" s="1056"/>
      <c r="Q12" s="1056"/>
      <c r="R12" s="1056"/>
    </row>
    <row r="13" spans="1:21" ht="73.5" customHeight="1">
      <c r="B13" s="322"/>
      <c r="C13" s="64"/>
      <c r="D13" s="132" t="s">
        <v>1447</v>
      </c>
      <c r="E13" s="1057" t="s">
        <v>2811</v>
      </c>
      <c r="F13" s="1058"/>
      <c r="G13" s="1058"/>
      <c r="H13" s="1058"/>
      <c r="I13" s="1058"/>
      <c r="J13" s="1058"/>
      <c r="K13" s="1058"/>
      <c r="L13" s="1058"/>
      <c r="M13" s="1058"/>
      <c r="N13" s="1058"/>
      <c r="O13" s="1058"/>
      <c r="P13" s="1058"/>
      <c r="Q13" s="1058"/>
      <c r="R13" s="1059"/>
    </row>
    <row r="14" spans="1:21" ht="6.95" customHeight="1" thickBot="1">
      <c r="B14" s="322"/>
      <c r="C14" s="64"/>
      <c r="D14" s="4"/>
      <c r="E14" s="4"/>
      <c r="F14" s="4"/>
      <c r="G14" s="4"/>
      <c r="H14" s="4"/>
      <c r="I14" s="4"/>
      <c r="J14" s="4"/>
      <c r="K14" s="4"/>
    </row>
    <row r="15" spans="1:21" ht="15.75" thickBot="1">
      <c r="B15" s="1032" t="s">
        <v>1449</v>
      </c>
      <c r="C15" s="65"/>
      <c r="D15" s="1009" t="s">
        <v>1816</v>
      </c>
      <c r="E15" s="1010"/>
      <c r="F15" s="1010"/>
      <c r="G15" s="1010"/>
      <c r="H15" s="1010"/>
      <c r="I15" s="1010"/>
      <c r="J15" s="1010"/>
      <c r="K15" s="1011"/>
      <c r="L15" s="146"/>
      <c r="M15" s="146"/>
      <c r="N15" s="146"/>
      <c r="O15" s="146"/>
      <c r="P15" s="146"/>
      <c r="Q15" s="146"/>
      <c r="R15" s="146"/>
    </row>
    <row r="16" spans="1:21" ht="15.75" thickBot="1">
      <c r="B16" s="1033"/>
      <c r="C16" s="66" t="s">
        <v>1402</v>
      </c>
      <c r="D16" s="872" t="s">
        <v>1707</v>
      </c>
      <c r="E16" s="872" t="s">
        <v>1487</v>
      </c>
      <c r="F16" s="872" t="s">
        <v>1488</v>
      </c>
      <c r="G16" s="872" t="s">
        <v>1489</v>
      </c>
      <c r="H16" s="872" t="s">
        <v>1490</v>
      </c>
      <c r="I16" s="872" t="s">
        <v>2171</v>
      </c>
      <c r="K16" s="17"/>
      <c r="L16" s="146"/>
      <c r="M16" s="146"/>
      <c r="N16" s="146"/>
      <c r="O16" s="146"/>
      <c r="P16" s="146"/>
      <c r="Q16" s="146"/>
      <c r="R16" s="146"/>
    </row>
    <row r="17" spans="2:18" ht="24.75" thickBot="1">
      <c r="B17" s="1033"/>
      <c r="C17" s="67" t="s">
        <v>1605</v>
      </c>
      <c r="D17" s="845" t="s">
        <v>2812</v>
      </c>
      <c r="E17" s="5">
        <v>59</v>
      </c>
      <c r="F17" s="5">
        <v>295</v>
      </c>
      <c r="G17" s="5">
        <v>251</v>
      </c>
      <c r="H17" s="5">
        <v>157</v>
      </c>
      <c r="I17" s="34">
        <f>SUM(E17:H17)</f>
        <v>762</v>
      </c>
      <c r="K17" s="17"/>
      <c r="L17" s="146"/>
      <c r="M17" s="146"/>
      <c r="N17" s="146"/>
      <c r="O17" s="146"/>
      <c r="P17" s="146"/>
      <c r="Q17" s="146"/>
      <c r="R17" s="146"/>
    </row>
    <row r="18" spans="2:18" ht="15.75" thickBot="1">
      <c r="B18" s="1033"/>
      <c r="C18" s="67" t="s">
        <v>1607</v>
      </c>
      <c r="D18" s="845" t="s">
        <v>2338</v>
      </c>
      <c r="E18" s="144">
        <v>2590000000</v>
      </c>
      <c r="F18" s="144">
        <v>5170000000</v>
      </c>
      <c r="G18" s="144">
        <v>4400000000</v>
      </c>
      <c r="H18" s="144">
        <v>1870000000</v>
      </c>
      <c r="I18" s="96">
        <f>SUM(E18:H18)</f>
        <v>14030000000</v>
      </c>
      <c r="K18" s="17"/>
      <c r="L18" s="146"/>
      <c r="M18" s="146"/>
      <c r="N18" s="146"/>
      <c r="O18" s="146"/>
      <c r="P18" s="146"/>
      <c r="Q18" s="146"/>
      <c r="R18" s="146"/>
    </row>
    <row r="19" spans="2:18" ht="15.75" thickBot="1">
      <c r="B19" s="1033"/>
      <c r="C19" s="67" t="s">
        <v>1610</v>
      </c>
      <c r="D19" s="845" t="s">
        <v>2405</v>
      </c>
      <c r="E19" s="144">
        <v>2590000000</v>
      </c>
      <c r="F19" s="144">
        <v>5170000000</v>
      </c>
      <c r="G19" s="144">
        <v>4400000000</v>
      </c>
      <c r="H19" s="144">
        <v>1870000000</v>
      </c>
      <c r="I19" s="96">
        <f>SUM(E19:H19)</f>
        <v>14030000000</v>
      </c>
      <c r="K19" s="17" t="s">
        <v>154</v>
      </c>
      <c r="L19" s="146"/>
      <c r="M19" s="146"/>
      <c r="N19" s="146"/>
      <c r="O19" s="146"/>
      <c r="P19" s="146"/>
      <c r="Q19" s="146"/>
      <c r="R19" s="146"/>
    </row>
    <row r="20" spans="2:18">
      <c r="B20" s="1033"/>
      <c r="C20" s="68"/>
      <c r="D20" s="1015"/>
      <c r="E20" s="1016"/>
      <c r="F20" s="1016"/>
      <c r="G20" s="1016"/>
      <c r="H20" s="1016"/>
      <c r="I20" s="1016"/>
      <c r="J20" s="1016"/>
      <c r="K20" s="1017"/>
      <c r="L20" s="146"/>
      <c r="M20" s="146"/>
      <c r="N20" s="146"/>
      <c r="O20" s="146"/>
      <c r="P20" s="146"/>
      <c r="Q20" s="146"/>
      <c r="R20" s="146"/>
    </row>
    <row r="21" spans="2:18" ht="15.75" thickBot="1">
      <c r="B21" s="1033"/>
      <c r="C21" s="68"/>
      <c r="D21" s="1044" t="s">
        <v>2813</v>
      </c>
      <c r="E21" s="1045"/>
      <c r="F21" s="1045"/>
      <c r="G21" s="1045"/>
      <c r="H21" s="1045"/>
      <c r="I21" s="1045"/>
      <c r="J21" s="1045"/>
      <c r="K21" s="1046"/>
      <c r="L21" s="146"/>
      <c r="M21" s="146"/>
      <c r="N21" s="146"/>
      <c r="O21" s="146"/>
      <c r="P21" s="146"/>
      <c r="Q21" s="146"/>
      <c r="R21" s="146"/>
    </row>
    <row r="22" spans="2:18" ht="15.75" thickBot="1">
      <c r="B22" s="1033"/>
      <c r="C22" s="1089" t="s">
        <v>1402</v>
      </c>
      <c r="D22" s="1032" t="s">
        <v>1728</v>
      </c>
      <c r="E22" s="1041" t="s">
        <v>2175</v>
      </c>
      <c r="F22" s="1043"/>
      <c r="G22" s="1041" t="s">
        <v>2253</v>
      </c>
      <c r="H22" s="1042"/>
      <c r="I22" s="1042"/>
      <c r="J22" s="1043"/>
      <c r="K22" s="83"/>
      <c r="L22" s="146"/>
      <c r="M22" s="146"/>
      <c r="N22" s="146"/>
      <c r="O22" s="146"/>
      <c r="P22" s="146"/>
      <c r="Q22" s="146"/>
      <c r="R22" s="146"/>
    </row>
    <row r="23" spans="2:18" ht="36.75" thickBot="1">
      <c r="B23" s="1033"/>
      <c r="C23" s="1090"/>
      <c r="D23" s="1033"/>
      <c r="E23" s="845" t="s">
        <v>2176</v>
      </c>
      <c r="F23" s="842" t="s">
        <v>2177</v>
      </c>
      <c r="G23" s="845" t="s">
        <v>2338</v>
      </c>
      <c r="H23" s="845" t="s">
        <v>1827</v>
      </c>
      <c r="I23" s="845" t="s">
        <v>1732</v>
      </c>
      <c r="J23" s="845" t="s">
        <v>1733</v>
      </c>
      <c r="K23" s="845" t="s">
        <v>1406</v>
      </c>
      <c r="L23" s="146"/>
      <c r="M23" s="146"/>
      <c r="N23" s="146"/>
      <c r="O23" s="146"/>
      <c r="P23" s="146"/>
      <c r="Q23" s="146"/>
      <c r="R23" s="146"/>
    </row>
    <row r="24" spans="2:18" ht="49.5" thickBot="1">
      <c r="B24" s="1033"/>
      <c r="C24" s="740">
        <v>1</v>
      </c>
      <c r="D24" s="742" t="s">
        <v>2814</v>
      </c>
      <c r="E24" s="26">
        <v>0.1</v>
      </c>
      <c r="F24" s="26">
        <v>0.1</v>
      </c>
      <c r="G24" s="144">
        <v>660000000</v>
      </c>
      <c r="H24" s="144">
        <v>660000000</v>
      </c>
      <c r="I24" s="144">
        <v>47000000</v>
      </c>
      <c r="J24" s="144"/>
      <c r="K24" s="144"/>
      <c r="L24" s="146"/>
      <c r="M24" s="146"/>
      <c r="N24" s="146"/>
      <c r="O24" s="146"/>
      <c r="P24" s="146"/>
      <c r="Q24" s="146"/>
      <c r="R24" s="146"/>
    </row>
    <row r="25" spans="2:18" ht="37.5" thickBot="1">
      <c r="B25" s="1033"/>
      <c r="C25" s="740">
        <v>2</v>
      </c>
      <c r="D25" s="742" t="s">
        <v>2815</v>
      </c>
      <c r="E25" s="26">
        <v>0</v>
      </c>
      <c r="F25" s="26">
        <v>0</v>
      </c>
      <c r="G25" s="144">
        <v>1580000000</v>
      </c>
      <c r="H25" s="144">
        <v>1580000000</v>
      </c>
      <c r="I25" s="144">
        <v>0</v>
      </c>
      <c r="J25" s="144"/>
      <c r="K25" s="144"/>
      <c r="L25" s="146"/>
      <c r="M25" s="146"/>
      <c r="N25" s="146"/>
      <c r="O25" s="146"/>
      <c r="P25" s="146"/>
      <c r="Q25" s="146"/>
      <c r="R25" s="146"/>
    </row>
    <row r="26" spans="2:18" ht="37.5" thickBot="1">
      <c r="B26" s="1033"/>
      <c r="C26" s="740">
        <v>3</v>
      </c>
      <c r="D26" s="742" t="s">
        <v>2816</v>
      </c>
      <c r="E26" s="26">
        <v>0</v>
      </c>
      <c r="F26" s="26">
        <v>0</v>
      </c>
      <c r="G26" s="144">
        <v>500000000</v>
      </c>
      <c r="H26" s="144">
        <v>500000000</v>
      </c>
      <c r="I26" s="144">
        <v>0</v>
      </c>
      <c r="J26" s="144"/>
      <c r="K26" s="144"/>
      <c r="L26" s="146"/>
      <c r="M26" s="146"/>
      <c r="N26" s="146"/>
      <c r="O26" s="146"/>
      <c r="P26" s="146"/>
      <c r="Q26" s="146"/>
      <c r="R26" s="146"/>
    </row>
    <row r="27" spans="2:18" ht="37.5" thickBot="1">
      <c r="B27" s="1033"/>
      <c r="C27" s="740">
        <v>4</v>
      </c>
      <c r="D27" s="742" t="s">
        <v>2817</v>
      </c>
      <c r="E27" s="26">
        <v>0</v>
      </c>
      <c r="F27" s="26">
        <v>0</v>
      </c>
      <c r="G27" s="144">
        <v>2600000000</v>
      </c>
      <c r="H27" s="144">
        <v>2600000000</v>
      </c>
      <c r="I27" s="144">
        <v>12000000</v>
      </c>
      <c r="J27" s="144"/>
      <c r="K27" s="144"/>
      <c r="L27" s="146"/>
      <c r="M27" s="146"/>
      <c r="N27" s="146"/>
      <c r="O27" s="146"/>
      <c r="P27" s="146"/>
      <c r="Q27" s="146"/>
      <c r="R27" s="146"/>
    </row>
    <row r="28" spans="2:18" ht="61.5" thickBot="1">
      <c r="B28" s="1033"/>
      <c r="C28" s="740">
        <v>5</v>
      </c>
      <c r="D28" s="742" t="s">
        <v>2818</v>
      </c>
      <c r="E28" s="26">
        <v>0</v>
      </c>
      <c r="F28" s="26">
        <v>0</v>
      </c>
      <c r="G28" s="144">
        <v>1000000000</v>
      </c>
      <c r="H28" s="144">
        <v>1000000000</v>
      </c>
      <c r="I28" s="144">
        <v>0</v>
      </c>
      <c r="J28" s="144"/>
      <c r="K28" s="144"/>
      <c r="L28" s="146"/>
      <c r="M28" s="146"/>
      <c r="N28" s="146"/>
      <c r="O28" s="146"/>
      <c r="P28" s="146"/>
      <c r="Q28" s="146"/>
      <c r="R28" s="146"/>
    </row>
    <row r="29" spans="2:18" ht="49.5" thickBot="1">
      <c r="B29" s="1033"/>
      <c r="C29" s="740">
        <v>6</v>
      </c>
      <c r="D29" s="742" t="s">
        <v>2819</v>
      </c>
      <c r="E29" s="26">
        <v>1</v>
      </c>
      <c r="F29" s="26">
        <v>1</v>
      </c>
      <c r="G29" s="144">
        <v>400000000</v>
      </c>
      <c r="H29" s="144">
        <v>400000000</v>
      </c>
      <c r="I29" s="144">
        <v>0</v>
      </c>
      <c r="J29" s="144"/>
      <c r="K29" s="144"/>
      <c r="L29" s="146"/>
      <c r="M29" s="146"/>
      <c r="N29" s="146"/>
      <c r="O29" s="146"/>
      <c r="P29" s="146"/>
      <c r="Q29" s="146"/>
      <c r="R29" s="146"/>
    </row>
    <row r="30" spans="2:18" ht="49.5" thickBot="1">
      <c r="B30" s="1033"/>
      <c r="C30" s="740">
        <v>7</v>
      </c>
      <c r="D30" s="742" t="s">
        <v>2820</v>
      </c>
      <c r="E30" s="26">
        <v>0</v>
      </c>
      <c r="F30" s="26">
        <v>0</v>
      </c>
      <c r="G30" s="144">
        <v>520000000</v>
      </c>
      <c r="H30" s="144">
        <v>520000000</v>
      </c>
      <c r="I30" s="144">
        <v>0</v>
      </c>
      <c r="J30" s="144"/>
      <c r="K30" s="144"/>
      <c r="L30" s="146"/>
      <c r="M30" s="146"/>
      <c r="N30" s="146"/>
      <c r="O30" s="146"/>
      <c r="P30" s="146"/>
      <c r="Q30" s="146"/>
      <c r="R30" s="146"/>
    </row>
    <row r="31" spans="2:18" ht="61.5" thickBot="1">
      <c r="B31" s="1033"/>
      <c r="C31" s="740">
        <v>8</v>
      </c>
      <c r="D31" s="742" t="s">
        <v>2821</v>
      </c>
      <c r="E31" s="26">
        <v>0</v>
      </c>
      <c r="F31" s="26">
        <v>0</v>
      </c>
      <c r="G31" s="144">
        <v>2480000000</v>
      </c>
      <c r="H31" s="144">
        <v>2480000000</v>
      </c>
      <c r="I31" s="144">
        <v>0</v>
      </c>
      <c r="J31" s="144"/>
      <c r="K31" s="144"/>
      <c r="L31" s="146"/>
      <c r="M31" s="146"/>
      <c r="N31" s="146"/>
      <c r="O31" s="146"/>
      <c r="P31" s="146"/>
      <c r="Q31" s="146"/>
      <c r="R31" s="146"/>
    </row>
    <row r="32" spans="2:18" ht="48.75" thickBot="1">
      <c r="B32" s="1033"/>
      <c r="C32" s="740">
        <v>9</v>
      </c>
      <c r="D32" s="764" t="s">
        <v>2822</v>
      </c>
      <c r="E32" s="26">
        <v>0</v>
      </c>
      <c r="F32" s="26">
        <v>0</v>
      </c>
      <c r="G32" s="144">
        <v>1050000000</v>
      </c>
      <c r="H32" s="144">
        <v>1050000000</v>
      </c>
      <c r="I32" s="144">
        <v>0</v>
      </c>
      <c r="J32" s="144"/>
      <c r="K32" s="144"/>
      <c r="L32" s="146"/>
      <c r="M32" s="146"/>
      <c r="N32" s="146"/>
      <c r="O32" s="146"/>
      <c r="P32" s="146"/>
      <c r="Q32" s="146"/>
      <c r="R32" s="146"/>
    </row>
    <row r="33" spans="2:18" ht="73.5" thickBot="1">
      <c r="B33" s="1033"/>
      <c r="C33" s="740">
        <v>10</v>
      </c>
      <c r="D33" s="742" t="s">
        <v>2823</v>
      </c>
      <c r="E33" s="26">
        <v>0</v>
      </c>
      <c r="F33" s="26">
        <v>0</v>
      </c>
      <c r="G33" s="144">
        <v>840000000</v>
      </c>
      <c r="H33" s="144">
        <v>840000000</v>
      </c>
      <c r="I33" s="144">
        <v>774538631</v>
      </c>
      <c r="J33" s="144"/>
      <c r="K33" s="144"/>
      <c r="L33" s="146"/>
      <c r="M33" s="146"/>
      <c r="N33" s="146" t="s">
        <v>154</v>
      </c>
      <c r="O33" s="146"/>
      <c r="P33" s="146"/>
      <c r="Q33" s="146"/>
      <c r="R33" s="146"/>
    </row>
    <row r="34" spans="2:18" ht="49.5" thickBot="1">
      <c r="B34" s="1033"/>
      <c r="C34" s="740">
        <v>11</v>
      </c>
      <c r="D34" s="742" t="s">
        <v>2824</v>
      </c>
      <c r="E34" s="26">
        <v>0</v>
      </c>
      <c r="F34" s="26">
        <v>0</v>
      </c>
      <c r="G34" s="144">
        <v>2400000000</v>
      </c>
      <c r="H34" s="144">
        <v>2400000000</v>
      </c>
      <c r="I34" s="144">
        <v>0</v>
      </c>
      <c r="J34" s="144"/>
      <c r="K34" s="144"/>
      <c r="L34" s="146"/>
      <c r="M34" s="146" t="s">
        <v>154</v>
      </c>
      <c r="N34" s="146"/>
      <c r="O34" s="146"/>
      <c r="P34" s="146"/>
      <c r="Q34" s="146"/>
      <c r="R34" s="146"/>
    </row>
    <row r="35" spans="2:18" ht="15.75" thickBot="1">
      <c r="B35" s="1033"/>
      <c r="C35" s="55"/>
      <c r="D35" s="36" t="s">
        <v>1604</v>
      </c>
      <c r="E35" s="1"/>
      <c r="F35" s="1"/>
      <c r="G35" s="97">
        <f>SUM(G24:G34)</f>
        <v>14030000000</v>
      </c>
      <c r="H35" s="97">
        <f>SUM(H24:H34)</f>
        <v>14030000000</v>
      </c>
      <c r="I35" s="97">
        <f>SUM(I24:I34)</f>
        <v>833538631</v>
      </c>
      <c r="J35" s="97">
        <f>SUM(J24:J34)</f>
        <v>0</v>
      </c>
      <c r="K35" s="144"/>
      <c r="L35" s="146"/>
      <c r="M35" s="146"/>
      <c r="N35" s="146"/>
      <c r="O35" s="146"/>
      <c r="P35" s="146"/>
      <c r="Q35" s="146"/>
      <c r="R35" s="146"/>
    </row>
    <row r="36" spans="2:18">
      <c r="B36" s="1033"/>
      <c r="C36" s="68"/>
      <c r="D36" s="1015" t="s">
        <v>2416</v>
      </c>
      <c r="E36" s="1016"/>
      <c r="F36" s="1016"/>
      <c r="G36" s="1016"/>
      <c r="H36" s="1016"/>
      <c r="I36" s="1016"/>
      <c r="J36" s="1016"/>
      <c r="K36" s="1017"/>
      <c r="L36" s="146"/>
      <c r="M36" s="146"/>
      <c r="N36" s="146"/>
      <c r="O36" s="146"/>
      <c r="P36" s="146"/>
      <c r="Q36" s="146"/>
      <c r="R36" s="146"/>
    </row>
    <row r="37" spans="2:18" ht="15.75" thickBot="1">
      <c r="B37" s="1033"/>
      <c r="C37" s="68"/>
      <c r="D37" s="1015" t="s">
        <v>2825</v>
      </c>
      <c r="E37" s="1016"/>
      <c r="F37" s="1016"/>
      <c r="G37" s="1016"/>
      <c r="H37" s="1016"/>
      <c r="I37" s="1016"/>
      <c r="J37" s="1016"/>
      <c r="K37" s="1017"/>
      <c r="L37" s="146"/>
      <c r="M37" s="146"/>
      <c r="N37" s="146"/>
      <c r="O37" s="146"/>
      <c r="P37" s="146"/>
      <c r="Q37" s="146"/>
      <c r="R37" s="146"/>
    </row>
    <row r="38" spans="2:18" ht="15.75" thickBot="1">
      <c r="B38" s="1033"/>
      <c r="C38" s="1089" t="s">
        <v>1402</v>
      </c>
      <c r="D38" s="1245" t="s">
        <v>2271</v>
      </c>
      <c r="E38" s="872" t="s">
        <v>2418</v>
      </c>
      <c r="F38" s="1153" t="s">
        <v>2272</v>
      </c>
      <c r="G38" s="1155"/>
      <c r="H38" s="842"/>
      <c r="I38" s="4"/>
      <c r="K38" s="17"/>
      <c r="L38" s="146"/>
      <c r="M38" s="146"/>
      <c r="N38" s="146"/>
      <c r="O38" s="146"/>
      <c r="P38" s="146"/>
      <c r="Q38" s="146"/>
      <c r="R38" s="146"/>
    </row>
    <row r="39" spans="2:18">
      <c r="B39" s="1033"/>
      <c r="C39" s="1244"/>
      <c r="D39" s="1246"/>
      <c r="E39" s="1032" t="s">
        <v>2826</v>
      </c>
      <c r="F39" s="1032" t="s">
        <v>2273</v>
      </c>
      <c r="G39" s="829" t="s">
        <v>2274</v>
      </c>
      <c r="H39" s="1032" t="s">
        <v>1406</v>
      </c>
      <c r="I39" s="4"/>
      <c r="K39" s="17"/>
      <c r="L39" s="146"/>
      <c r="M39" s="146"/>
      <c r="N39" s="146"/>
      <c r="O39" s="146"/>
      <c r="P39" s="146"/>
      <c r="Q39" s="146"/>
      <c r="R39" s="146"/>
    </row>
    <row r="40" spans="2:18" ht="15.75" thickBot="1">
      <c r="B40" s="1033"/>
      <c r="C40" s="1090"/>
      <c r="D40" s="1247"/>
      <c r="E40" s="1034"/>
      <c r="F40" s="1034"/>
      <c r="G40" s="845" t="s">
        <v>2254</v>
      </c>
      <c r="H40" s="1034"/>
      <c r="I40" s="4"/>
      <c r="K40" s="17"/>
      <c r="L40" s="146"/>
      <c r="M40" s="146"/>
      <c r="N40" s="146"/>
      <c r="O40" s="146"/>
      <c r="P40" s="146"/>
      <c r="Q40" s="146"/>
      <c r="R40" s="146"/>
    </row>
    <row r="41" spans="2:18" ht="15.75" thickBot="1">
      <c r="B41" s="1033"/>
      <c r="C41" s="857">
        <v>1</v>
      </c>
      <c r="D41" s="118"/>
      <c r="E41" s="765">
        <v>0</v>
      </c>
      <c r="F41" s="324">
        <v>0</v>
      </c>
      <c r="G41" s="324">
        <f>IFERROR(J24/I24,0)</f>
        <v>0</v>
      </c>
      <c r="H41" s="25"/>
      <c r="I41" s="4"/>
      <c r="J41" s="766"/>
      <c r="K41" s="17"/>
      <c r="L41" s="146"/>
      <c r="M41" s="146"/>
      <c r="N41" s="146"/>
      <c r="O41" s="146"/>
      <c r="P41" s="146"/>
      <c r="Q41" s="146"/>
      <c r="R41" s="146"/>
    </row>
    <row r="42" spans="2:18" ht="15.75" thickBot="1">
      <c r="B42" s="1033"/>
      <c r="C42" s="857">
        <v>2</v>
      </c>
      <c r="D42" s="118"/>
      <c r="E42" s="765">
        <f>+F20</f>
        <v>0</v>
      </c>
      <c r="F42" s="324">
        <f>IFERROR(I20/H20,0)</f>
        <v>0</v>
      </c>
      <c r="G42" s="324">
        <f>IFERROR(J20/I20,0)</f>
        <v>0</v>
      </c>
      <c r="H42" s="25"/>
      <c r="I42" s="4"/>
      <c r="K42" s="17"/>
      <c r="L42" s="146"/>
      <c r="M42" s="146"/>
      <c r="N42" s="146"/>
      <c r="O42" s="146"/>
      <c r="P42" s="146"/>
      <c r="Q42" s="146"/>
      <c r="R42" s="146"/>
    </row>
    <row r="43" spans="2:18" ht="15.75" thickBot="1">
      <c r="B43" s="1033"/>
      <c r="C43" s="857">
        <v>3</v>
      </c>
      <c r="D43" s="118"/>
      <c r="E43" s="765">
        <v>0</v>
      </c>
      <c r="F43" s="324">
        <v>0</v>
      </c>
      <c r="G43" s="324">
        <f>IFERROR(J21/I21,0)</f>
        <v>0</v>
      </c>
      <c r="H43" s="25"/>
      <c r="I43" s="4"/>
      <c r="K43" s="17"/>
      <c r="L43" s="146"/>
      <c r="M43" s="146"/>
      <c r="N43" s="146"/>
      <c r="O43" s="146"/>
      <c r="P43" s="146"/>
      <c r="Q43" s="146"/>
      <c r="R43" s="146"/>
    </row>
    <row r="44" spans="2:18" ht="15.75" thickBot="1">
      <c r="B44" s="1033"/>
      <c r="C44" s="857">
        <v>4</v>
      </c>
      <c r="D44" s="118"/>
      <c r="E44" s="765">
        <f>+F22</f>
        <v>0</v>
      </c>
      <c r="F44" s="324">
        <f>IFERROR(I22/H22,0)</f>
        <v>0</v>
      </c>
      <c r="G44" s="324">
        <f>IFERROR(J22/I22,0)</f>
        <v>0</v>
      </c>
      <c r="H44" s="25"/>
      <c r="I44" s="4"/>
      <c r="K44" s="17"/>
      <c r="L44" s="146"/>
      <c r="M44" s="146"/>
      <c r="N44" s="146"/>
      <c r="O44" s="146"/>
      <c r="P44" s="146"/>
      <c r="Q44" s="146"/>
      <c r="R44" s="146"/>
    </row>
    <row r="45" spans="2:18" ht="15.75" thickBot="1">
      <c r="B45" s="1033"/>
      <c r="C45" s="857">
        <v>6</v>
      </c>
      <c r="D45" s="118"/>
      <c r="E45" s="765">
        <v>0</v>
      </c>
      <c r="F45" s="324">
        <f>IFERROR(#REF!/#REF!,0)</f>
        <v>0</v>
      </c>
      <c r="G45" s="324">
        <f>IFERROR(#REF!/#REF!,0)</f>
        <v>0</v>
      </c>
      <c r="H45" s="25"/>
      <c r="I45" s="4"/>
      <c r="K45" s="17"/>
      <c r="L45" s="146"/>
      <c r="M45" s="146"/>
      <c r="N45" s="146"/>
      <c r="O45" s="146"/>
      <c r="P45" s="146"/>
      <c r="Q45" s="146"/>
      <c r="R45" s="146"/>
    </row>
    <row r="46" spans="2:18" ht="15.75" thickBot="1">
      <c r="B46" s="1033"/>
      <c r="C46" s="857">
        <v>7</v>
      </c>
      <c r="D46" s="118"/>
      <c r="E46" s="765">
        <f>+F25</f>
        <v>0</v>
      </c>
      <c r="F46" s="324">
        <f>IFERROR(I25/H25,0)</f>
        <v>0</v>
      </c>
      <c r="G46" s="324">
        <f>IFERROR(J25/I25,0)</f>
        <v>0</v>
      </c>
      <c r="H46" s="25"/>
      <c r="I46" s="4"/>
      <c r="K46" s="17"/>
      <c r="L46" s="146"/>
      <c r="M46" s="146"/>
      <c r="N46" s="146"/>
      <c r="O46" s="146"/>
      <c r="P46" s="146"/>
      <c r="Q46" s="146"/>
      <c r="R46" s="146"/>
    </row>
    <row r="47" spans="2:18" ht="15.75" thickBot="1">
      <c r="B47" s="1033"/>
      <c r="C47" s="857">
        <v>8</v>
      </c>
      <c r="D47" s="118"/>
      <c r="E47" s="765">
        <v>0</v>
      </c>
      <c r="F47" s="324">
        <v>0</v>
      </c>
      <c r="G47" s="324">
        <f>IFERROR(J25/I25,0)</f>
        <v>0</v>
      </c>
      <c r="H47" s="25"/>
      <c r="I47" s="4"/>
      <c r="K47" s="17"/>
      <c r="L47" s="146"/>
      <c r="M47" s="146"/>
      <c r="N47" s="146"/>
      <c r="O47" s="146"/>
      <c r="P47" s="146"/>
      <c r="Q47" s="146"/>
      <c r="R47" s="146"/>
    </row>
    <row r="48" spans="2:18" ht="15.75" thickBot="1">
      <c r="B48" s="1033"/>
      <c r="C48" s="857">
        <v>8</v>
      </c>
      <c r="D48" s="118"/>
      <c r="E48" s="765">
        <v>0</v>
      </c>
      <c r="F48" s="324">
        <v>0</v>
      </c>
      <c r="G48" s="324">
        <f>IFERROR(J26/I26,0)</f>
        <v>0</v>
      </c>
      <c r="H48" s="25"/>
      <c r="I48" s="4"/>
      <c r="K48" s="17"/>
      <c r="L48" s="146"/>
      <c r="M48" s="146"/>
      <c r="N48" s="146"/>
      <c r="O48" s="146"/>
      <c r="P48" s="146"/>
      <c r="Q48" s="146"/>
      <c r="R48" s="146"/>
    </row>
    <row r="49" spans="2:18" ht="15.75" thickBot="1">
      <c r="B49" s="1033"/>
      <c r="C49" s="857">
        <v>9</v>
      </c>
      <c r="D49" s="118"/>
      <c r="E49" s="765">
        <f>+F27</f>
        <v>0</v>
      </c>
      <c r="F49" s="324">
        <f>IFERROR(I27/H27,0)</f>
        <v>4.6153846153846158E-3</v>
      </c>
      <c r="G49" s="324">
        <f>IFERROR(J27/I27,0)</f>
        <v>0</v>
      </c>
      <c r="H49" s="25"/>
      <c r="I49" s="4"/>
      <c r="K49" s="17"/>
      <c r="L49" s="146"/>
      <c r="M49" s="146"/>
      <c r="N49" s="146"/>
      <c r="O49" s="146"/>
      <c r="P49" s="146"/>
      <c r="Q49" s="146"/>
      <c r="R49" s="146"/>
    </row>
    <row r="50" spans="2:18" ht="15.75" thickBot="1">
      <c r="B50" s="1033"/>
      <c r="C50" s="857">
        <v>10</v>
      </c>
      <c r="D50" s="118"/>
      <c r="E50" s="765">
        <f>+F28</f>
        <v>0</v>
      </c>
      <c r="F50" s="324">
        <f>IFERROR(I28/H28,0)</f>
        <v>0</v>
      </c>
      <c r="G50" s="324">
        <f>IFERROR(J28/I28,0)</f>
        <v>0</v>
      </c>
      <c r="H50" s="25"/>
      <c r="I50" s="4"/>
      <c r="K50" s="17"/>
      <c r="L50" s="146"/>
      <c r="M50" s="146"/>
      <c r="N50" s="146"/>
      <c r="O50" s="146"/>
      <c r="P50" s="146"/>
      <c r="Q50" s="146"/>
      <c r="R50" s="146"/>
    </row>
    <row r="51" spans="2:18" ht="15.75" thickBot="1">
      <c r="B51" s="1033"/>
      <c r="C51" s="857">
        <v>11</v>
      </c>
      <c r="D51" s="118"/>
      <c r="E51" s="765" t="e">
        <f>+#REF!</f>
        <v>#REF!</v>
      </c>
      <c r="F51" s="324">
        <f>IFERROR(#REF!/#REF!,0)</f>
        <v>0</v>
      </c>
      <c r="G51" s="324">
        <f>IFERROR(#REF!/#REF!,0)</f>
        <v>0</v>
      </c>
      <c r="H51" s="25"/>
      <c r="I51" s="4"/>
      <c r="K51" s="17"/>
      <c r="L51" s="146"/>
      <c r="M51" s="146"/>
      <c r="N51" s="146"/>
      <c r="O51" s="146"/>
      <c r="P51" s="146"/>
      <c r="Q51" s="146"/>
      <c r="R51" s="146"/>
    </row>
    <row r="52" spans="2:18" ht="15.75" thickBot="1">
      <c r="B52" s="1034"/>
      <c r="C52" s="857"/>
      <c r="D52" s="767" t="str">
        <f>+[1]Formulas!D31</f>
        <v>ERROR: LA SUMA DE LA COLUMNA DEBE SER 100%</v>
      </c>
      <c r="E52" s="768" t="e">
        <f>+D41*E41+D46*E46+D48*E48+D49*E49+D50*E50+D51*E51</f>
        <v>#REF!</v>
      </c>
      <c r="F52" s="768">
        <f>+D41*F41+D46*F46+D48*F48+D49*F49+D50*F50+D51*F51</f>
        <v>0</v>
      </c>
      <c r="G52" s="324">
        <f t="shared" ref="G52" si="0">IFERROR(J35/I35,0)</f>
        <v>0</v>
      </c>
      <c r="H52" s="25"/>
      <c r="I52" s="18"/>
      <c r="K52" s="19"/>
      <c r="L52" s="146"/>
      <c r="M52" s="146"/>
      <c r="N52" s="146"/>
      <c r="O52" s="146"/>
      <c r="P52" s="146"/>
      <c r="Q52" s="146"/>
      <c r="R52" s="146"/>
    </row>
    <row r="53" spans="2:18" ht="24" customHeight="1" thickBot="1">
      <c r="B53" s="885" t="s">
        <v>1504</v>
      </c>
      <c r="C53" s="62"/>
      <c r="D53" s="1248" t="s">
        <v>2827</v>
      </c>
      <c r="E53" s="1249"/>
      <c r="F53" s="1249"/>
      <c r="G53" s="1249"/>
      <c r="H53" s="1249"/>
      <c r="I53" s="1249"/>
      <c r="J53" s="1249"/>
      <c r="K53" s="1250"/>
      <c r="L53" s="146"/>
      <c r="M53" s="146"/>
      <c r="N53" s="146"/>
      <c r="O53" s="146"/>
      <c r="P53" s="146"/>
      <c r="Q53" s="146"/>
      <c r="R53" s="146"/>
    </row>
    <row r="54" spans="2:18" ht="36.75" thickBot="1">
      <c r="B54" s="885" t="s">
        <v>1506</v>
      </c>
      <c r="C54" s="62"/>
      <c r="D54" s="1248" t="s">
        <v>1831</v>
      </c>
      <c r="E54" s="1249"/>
      <c r="F54" s="1249"/>
      <c r="G54" s="1249"/>
      <c r="H54" s="1249"/>
      <c r="I54" s="1249"/>
      <c r="J54" s="1249"/>
      <c r="K54" s="1250"/>
      <c r="L54" s="146"/>
      <c r="M54" s="146"/>
      <c r="N54" s="146"/>
      <c r="O54" s="146"/>
      <c r="P54" s="146"/>
      <c r="Q54" s="146"/>
      <c r="R54" s="146"/>
    </row>
    <row r="55" spans="2:18" ht="15.75" thickBot="1">
      <c r="B55" s="6"/>
      <c r="C55" s="60"/>
      <c r="D55" s="14"/>
      <c r="E55" s="14"/>
      <c r="F55" s="14"/>
      <c r="G55" s="14"/>
      <c r="H55" s="14"/>
      <c r="I55" s="14"/>
      <c r="J55" s="14"/>
      <c r="K55" s="14"/>
      <c r="L55" s="146"/>
      <c r="M55" s="146"/>
      <c r="N55" s="146"/>
      <c r="O55" s="146"/>
      <c r="P55" s="146"/>
      <c r="Q55" s="146"/>
      <c r="R55" s="146"/>
    </row>
    <row r="56" spans="2:18" ht="24" customHeight="1" thickBot="1">
      <c r="B56" s="1251" t="s">
        <v>1508</v>
      </c>
      <c r="C56" s="1252"/>
      <c r="D56" s="1252"/>
      <c r="E56" s="1253"/>
      <c r="F56" s="14"/>
      <c r="G56" s="14"/>
      <c r="H56" s="14"/>
      <c r="I56" s="14"/>
      <c r="J56" s="14"/>
      <c r="K56" s="14"/>
      <c r="L56" s="146"/>
      <c r="M56" s="146"/>
      <c r="N56" s="146"/>
      <c r="O56" s="146"/>
      <c r="P56" s="146"/>
      <c r="Q56" s="146"/>
      <c r="R56" s="146"/>
    </row>
    <row r="57" spans="2:18" ht="15.75" thickBot="1">
      <c r="B57" s="1254">
        <v>1</v>
      </c>
      <c r="C57" s="172"/>
      <c r="D57" s="27" t="s">
        <v>1509</v>
      </c>
      <c r="E57" s="121" t="s">
        <v>1510</v>
      </c>
      <c r="F57" s="14"/>
      <c r="G57" s="14"/>
      <c r="H57" s="14"/>
      <c r="I57" s="14"/>
      <c r="J57" s="14"/>
      <c r="K57" s="14"/>
      <c r="L57" s="146"/>
      <c r="M57" s="146"/>
      <c r="N57" s="146"/>
      <c r="O57" s="146"/>
      <c r="P57" s="146"/>
      <c r="Q57" s="146"/>
      <c r="R57" s="146"/>
    </row>
    <row r="58" spans="2:18" ht="24.75" thickBot="1">
      <c r="B58" s="1255"/>
      <c r="C58" s="172"/>
      <c r="D58" s="142" t="s">
        <v>10</v>
      </c>
      <c r="E58" s="275" t="s">
        <v>1511</v>
      </c>
      <c r="F58" s="14"/>
      <c r="G58" s="14"/>
      <c r="H58" s="14"/>
      <c r="I58" s="14"/>
      <c r="J58" s="14"/>
      <c r="K58" s="14"/>
      <c r="L58" s="146"/>
      <c r="M58" s="146"/>
      <c r="N58" s="146"/>
      <c r="O58" s="146"/>
      <c r="P58" s="146"/>
      <c r="Q58" s="146"/>
      <c r="R58" s="146"/>
    </row>
    <row r="59" spans="2:18" ht="24.75" thickBot="1">
      <c r="B59" s="1255"/>
      <c r="C59" s="172"/>
      <c r="D59" s="142" t="s">
        <v>1512</v>
      </c>
      <c r="E59" s="275" t="s">
        <v>1615</v>
      </c>
      <c r="F59" s="14"/>
      <c r="G59" s="14"/>
      <c r="H59" s="14"/>
      <c r="I59" s="14"/>
      <c r="J59" s="14"/>
      <c r="K59" s="14"/>
      <c r="L59" s="146"/>
      <c r="M59" s="146"/>
      <c r="N59" s="146"/>
      <c r="O59" s="146"/>
      <c r="P59" s="146"/>
      <c r="Q59" s="146"/>
      <c r="R59" s="146"/>
    </row>
    <row r="60" spans="2:18" ht="15.75" thickBot="1">
      <c r="B60" s="1255"/>
      <c r="C60" s="172"/>
      <c r="D60" s="142" t="s">
        <v>13</v>
      </c>
      <c r="E60" s="121" t="s">
        <v>1514</v>
      </c>
      <c r="F60" s="14"/>
      <c r="G60" s="14"/>
      <c r="H60" s="14"/>
      <c r="I60" s="14"/>
      <c r="J60" s="14"/>
      <c r="K60" s="14"/>
      <c r="L60" s="146"/>
      <c r="M60" s="146"/>
      <c r="N60" s="146"/>
      <c r="O60" s="146"/>
      <c r="P60" s="146"/>
      <c r="Q60" s="146"/>
      <c r="R60" s="146"/>
    </row>
    <row r="61" spans="2:18" ht="45.75" thickBot="1">
      <c r="B61" s="1255"/>
      <c r="C61" s="172"/>
      <c r="D61" s="142" t="s">
        <v>16</v>
      </c>
      <c r="E61" s="709" t="s">
        <v>1515</v>
      </c>
      <c r="F61" s="14"/>
      <c r="G61" s="14"/>
      <c r="H61" s="14"/>
      <c r="I61" s="14"/>
      <c r="J61" s="14"/>
      <c r="K61" s="14"/>
      <c r="L61" s="146"/>
      <c r="M61" s="146"/>
      <c r="N61" s="146"/>
      <c r="O61" s="146"/>
      <c r="P61" s="146"/>
      <c r="Q61" s="146"/>
      <c r="R61" s="146"/>
    </row>
    <row r="62" spans="2:18" ht="15.75" thickBot="1">
      <c r="B62" s="1255"/>
      <c r="C62" s="172"/>
      <c r="D62" s="142" t="s">
        <v>19</v>
      </c>
      <c r="E62" s="121">
        <v>3686626</v>
      </c>
      <c r="F62" s="14"/>
      <c r="G62" s="14"/>
      <c r="H62" s="14"/>
      <c r="I62" s="14"/>
      <c r="J62" s="14"/>
      <c r="K62" s="14"/>
      <c r="L62" s="146"/>
      <c r="M62" s="146"/>
      <c r="N62" s="146"/>
      <c r="O62" s="146"/>
      <c r="P62" s="146"/>
      <c r="Q62" s="146"/>
      <c r="R62" s="146"/>
    </row>
    <row r="63" spans="2:18" ht="24.75" thickBot="1">
      <c r="B63" s="1256"/>
      <c r="C63" s="173"/>
      <c r="D63" s="142" t="s">
        <v>1516</v>
      </c>
      <c r="E63" s="275" t="s">
        <v>1517</v>
      </c>
      <c r="F63" s="14"/>
      <c r="G63" s="14"/>
      <c r="H63" s="14"/>
      <c r="I63" s="14"/>
      <c r="J63" s="14"/>
      <c r="K63" s="14"/>
      <c r="L63" s="146"/>
      <c r="M63" s="146"/>
      <c r="N63" s="146"/>
      <c r="O63" s="146"/>
      <c r="P63" s="146"/>
      <c r="Q63" s="146"/>
      <c r="R63" s="146"/>
    </row>
    <row r="64" spans="2:18" ht="15.75" thickBot="1">
      <c r="B64" s="6"/>
      <c r="C64" s="60"/>
      <c r="D64" s="14"/>
      <c r="E64" s="14"/>
      <c r="F64" s="14"/>
      <c r="G64" s="14"/>
      <c r="H64" s="14"/>
      <c r="I64" s="14"/>
      <c r="J64" s="14"/>
      <c r="K64" s="14"/>
      <c r="L64" s="146"/>
      <c r="M64" s="146"/>
      <c r="N64" s="146"/>
      <c r="O64" s="146"/>
      <c r="P64" s="146"/>
      <c r="Q64" s="146"/>
      <c r="R64" s="146"/>
    </row>
    <row r="65" spans="2:18" ht="15.75" thickBot="1">
      <c r="B65" s="1251" t="s">
        <v>1518</v>
      </c>
      <c r="C65" s="1252"/>
      <c r="D65" s="1252"/>
      <c r="E65" s="1253"/>
      <c r="F65" s="14"/>
      <c r="G65" s="14"/>
      <c r="H65" s="14"/>
      <c r="I65" s="14"/>
      <c r="J65" s="14"/>
      <c r="K65" s="14"/>
      <c r="L65" s="146"/>
      <c r="M65" s="146"/>
      <c r="N65" s="146"/>
      <c r="O65" s="146"/>
      <c r="P65" s="146"/>
      <c r="Q65" s="146"/>
      <c r="R65" s="146"/>
    </row>
    <row r="66" spans="2:18" ht="15.75" thickBot="1">
      <c r="B66" s="1254">
        <v>1</v>
      </c>
      <c r="C66" s="172"/>
      <c r="D66" s="27" t="s">
        <v>1509</v>
      </c>
      <c r="E66" s="23" t="s">
        <v>1519</v>
      </c>
      <c r="F66" s="14"/>
      <c r="G66" s="14"/>
      <c r="H66" s="14"/>
      <c r="I66" s="14"/>
      <c r="J66" s="14"/>
      <c r="K66" s="14"/>
      <c r="L66" s="146"/>
      <c r="M66" s="146"/>
      <c r="N66" s="146"/>
      <c r="O66" s="146"/>
      <c r="P66" s="146"/>
      <c r="Q66" s="146"/>
      <c r="R66" s="146"/>
    </row>
    <row r="67" spans="2:18" ht="15.75" thickBot="1">
      <c r="B67" s="1255"/>
      <c r="C67" s="172"/>
      <c r="D67" s="142" t="s">
        <v>10</v>
      </c>
      <c r="E67" s="23" t="s">
        <v>1520</v>
      </c>
      <c r="F67" s="14"/>
      <c r="G67" s="14"/>
      <c r="H67" s="14"/>
      <c r="I67" s="14"/>
      <c r="J67" s="14"/>
      <c r="K67" s="14"/>
      <c r="L67" s="146"/>
      <c r="M67" s="146"/>
      <c r="N67" s="146"/>
      <c r="O67" s="146"/>
      <c r="P67" s="146"/>
      <c r="Q67" s="146"/>
      <c r="R67" s="146"/>
    </row>
    <row r="68" spans="2:18" ht="15.75" thickBot="1">
      <c r="B68" s="1255"/>
      <c r="C68" s="172"/>
      <c r="D68" s="142" t="s">
        <v>1512</v>
      </c>
      <c r="E68" s="126"/>
      <c r="F68" s="14"/>
      <c r="G68" s="14"/>
      <c r="H68" s="14"/>
      <c r="I68" s="14"/>
      <c r="J68" s="14"/>
      <c r="K68" s="14"/>
      <c r="L68" s="146"/>
      <c r="M68" s="146"/>
      <c r="N68" s="146"/>
      <c r="O68" s="146"/>
      <c r="P68" s="146"/>
      <c r="Q68" s="146"/>
      <c r="R68" s="146"/>
    </row>
    <row r="69" spans="2:18" ht="15.75" thickBot="1">
      <c r="B69" s="1255"/>
      <c r="C69" s="172"/>
      <c r="D69" s="142" t="s">
        <v>13</v>
      </c>
      <c r="E69" s="126"/>
      <c r="F69" s="14"/>
      <c r="G69" s="14"/>
      <c r="H69" s="14"/>
      <c r="I69" s="14"/>
      <c r="J69" s="14"/>
      <c r="K69" s="14"/>
      <c r="L69" s="146"/>
      <c r="M69" s="146"/>
      <c r="N69" s="146"/>
      <c r="O69" s="146"/>
      <c r="P69" s="146"/>
      <c r="Q69" s="146"/>
      <c r="R69" s="146"/>
    </row>
    <row r="70" spans="2:18" ht="15.75" thickBot="1">
      <c r="B70" s="1255"/>
      <c r="C70" s="172"/>
      <c r="D70" s="142" t="s">
        <v>16</v>
      </c>
      <c r="E70" s="126"/>
      <c r="F70" s="14"/>
      <c r="G70" s="14"/>
      <c r="H70" s="14"/>
      <c r="I70" s="14"/>
      <c r="J70" s="14"/>
      <c r="K70" s="14"/>
      <c r="L70" s="146"/>
      <c r="M70" s="146"/>
      <c r="N70" s="146"/>
      <c r="O70" s="146"/>
      <c r="P70" s="146"/>
      <c r="Q70" s="146"/>
      <c r="R70" s="146"/>
    </row>
    <row r="71" spans="2:18" ht="15.75" thickBot="1">
      <c r="B71" s="1255"/>
      <c r="C71" s="172"/>
      <c r="D71" s="142" t="s">
        <v>19</v>
      </c>
      <c r="E71" s="126"/>
      <c r="F71" s="14"/>
      <c r="G71" s="14"/>
      <c r="H71" s="14"/>
      <c r="I71" s="14"/>
      <c r="J71" s="14"/>
      <c r="K71" s="14"/>
      <c r="L71" s="146"/>
      <c r="M71" s="146"/>
      <c r="N71" s="146"/>
      <c r="O71" s="146"/>
      <c r="P71" s="146"/>
      <c r="Q71" s="146"/>
      <c r="R71" s="146"/>
    </row>
    <row r="72" spans="2:18" ht="15.75" thickBot="1">
      <c r="B72" s="1256"/>
      <c r="C72" s="173"/>
      <c r="D72" s="142" t="s">
        <v>1516</v>
      </c>
      <c r="E72" s="126"/>
      <c r="F72" s="14"/>
      <c r="G72" s="14"/>
      <c r="H72" s="14"/>
      <c r="I72" s="14"/>
      <c r="J72" s="14"/>
      <c r="K72" s="14"/>
      <c r="L72" s="146"/>
      <c r="M72" s="146"/>
      <c r="N72" s="146"/>
      <c r="O72" s="146"/>
      <c r="P72" s="146"/>
      <c r="Q72" s="146"/>
      <c r="R72" s="146"/>
    </row>
    <row r="73" spans="2:18" ht="15.75" thickBot="1">
      <c r="B73" s="6"/>
      <c r="C73" s="60"/>
      <c r="D73" s="14"/>
      <c r="E73" s="14"/>
      <c r="F73" s="14"/>
      <c r="G73" s="14"/>
      <c r="H73" s="14"/>
      <c r="I73" s="14"/>
      <c r="J73" s="14"/>
      <c r="K73" s="14"/>
      <c r="L73" s="146"/>
      <c r="M73" s="146"/>
      <c r="N73" s="146"/>
      <c r="O73" s="146"/>
      <c r="P73" s="146"/>
      <c r="Q73" s="146"/>
      <c r="R73" s="146"/>
    </row>
    <row r="74" spans="2:18" ht="15" customHeight="1" thickBot="1">
      <c r="B74" s="887" t="s">
        <v>1521</v>
      </c>
      <c r="C74" s="888"/>
      <c r="D74" s="888"/>
      <c r="E74" s="889"/>
      <c r="F74" s="146"/>
      <c r="G74" s="14"/>
      <c r="H74" s="14"/>
      <c r="I74" s="14"/>
      <c r="J74" s="14"/>
      <c r="K74" s="14"/>
      <c r="L74" s="146"/>
      <c r="M74" s="146"/>
      <c r="N74" s="146"/>
      <c r="O74" s="146"/>
      <c r="P74" s="146"/>
      <c r="Q74" s="146"/>
      <c r="R74" s="146"/>
    </row>
    <row r="75" spans="2:18" ht="24.75" thickBot="1">
      <c r="B75" s="885" t="s">
        <v>1522</v>
      </c>
      <c r="C75" s="142" t="s">
        <v>1523</v>
      </c>
      <c r="D75" s="142" t="s">
        <v>1524</v>
      </c>
      <c r="E75" s="142" t="s">
        <v>1525</v>
      </c>
      <c r="F75" s="14"/>
      <c r="G75" s="14"/>
      <c r="H75" s="14"/>
      <c r="I75" s="14"/>
      <c r="J75" s="14"/>
      <c r="K75" s="146"/>
      <c r="L75" s="146"/>
      <c r="M75" s="146"/>
      <c r="N75" s="146"/>
      <c r="O75" s="146"/>
      <c r="P75" s="146"/>
      <c r="Q75" s="146"/>
      <c r="R75" s="146"/>
    </row>
    <row r="76" spans="2:18" ht="60.75" thickBot="1">
      <c r="B76" s="29">
        <v>42401</v>
      </c>
      <c r="C76" s="142">
        <v>0.01</v>
      </c>
      <c r="D76" s="138" t="s">
        <v>2828</v>
      </c>
      <c r="E76" s="142"/>
      <c r="F76" s="14"/>
      <c r="G76" s="14"/>
      <c r="H76" s="14"/>
      <c r="I76" s="14"/>
      <c r="J76" s="14"/>
      <c r="K76" s="146"/>
      <c r="L76" s="146"/>
      <c r="M76" s="146"/>
      <c r="N76" s="146"/>
      <c r="O76" s="146"/>
      <c r="P76" s="146"/>
      <c r="Q76" s="146"/>
      <c r="R76" s="146"/>
    </row>
    <row r="77" spans="2:18" ht="15.75" thickBot="1">
      <c r="B77" s="7"/>
      <c r="C77" s="61"/>
      <c r="D77" s="14"/>
      <c r="E77" s="14"/>
      <c r="F77" s="14"/>
      <c r="G77" s="14"/>
      <c r="H77" s="14"/>
      <c r="I77" s="14"/>
      <c r="J77" s="14"/>
      <c r="K77" s="14"/>
      <c r="L77" s="146"/>
      <c r="M77" s="146"/>
      <c r="N77" s="146"/>
      <c r="O77" s="146"/>
      <c r="P77" s="146"/>
      <c r="Q77" s="146"/>
      <c r="R77" s="146"/>
    </row>
    <row r="78" spans="2:18" ht="24.75" thickBot="1">
      <c r="B78" s="297" t="s">
        <v>1406</v>
      </c>
      <c r="C78" s="769"/>
      <c r="D78" s="14"/>
      <c r="E78" s="14"/>
      <c r="F78" s="14"/>
      <c r="G78" s="14"/>
      <c r="H78" s="14"/>
      <c r="I78" s="14"/>
      <c r="J78" s="14"/>
      <c r="K78" s="14"/>
      <c r="L78" s="146"/>
      <c r="M78" s="146"/>
      <c r="N78" s="146"/>
      <c r="O78" s="146"/>
      <c r="P78" s="146"/>
      <c r="Q78" s="146"/>
      <c r="R78" s="146"/>
    </row>
    <row r="79" spans="2:18">
      <c r="B79" s="1211"/>
      <c r="C79" s="1212"/>
      <c r="D79" s="1212"/>
      <c r="E79" s="1212"/>
      <c r="F79" s="1212"/>
      <c r="G79" s="1213"/>
      <c r="H79" s="14"/>
      <c r="I79" s="14"/>
      <c r="J79" s="14"/>
      <c r="K79" s="14"/>
      <c r="L79" s="146"/>
      <c r="M79" s="146"/>
      <c r="N79" s="146"/>
      <c r="O79" s="146"/>
      <c r="P79" s="146"/>
      <c r="Q79" s="146"/>
      <c r="R79" s="146"/>
    </row>
    <row r="80" spans="2:18" ht="15.75" thickBot="1">
      <c r="B80" s="1214"/>
      <c r="C80" s="1215"/>
      <c r="D80" s="1215"/>
      <c r="E80" s="1215"/>
      <c r="F80" s="1215"/>
      <c r="G80" s="1216"/>
      <c r="H80" s="14"/>
      <c r="I80" s="14"/>
      <c r="J80" s="14"/>
      <c r="K80" s="14"/>
      <c r="L80" s="146"/>
      <c r="M80" s="146"/>
      <c r="N80" s="146"/>
      <c r="O80" s="146"/>
      <c r="P80" s="146"/>
      <c r="Q80" s="146"/>
      <c r="R80" s="146"/>
    </row>
    <row r="81" spans="2:18">
      <c r="B81" s="6"/>
      <c r="C81" s="60"/>
      <c r="D81" s="14"/>
      <c r="E81" s="14"/>
      <c r="F81" s="14"/>
      <c r="G81" s="14"/>
      <c r="H81" s="14"/>
      <c r="I81" s="14"/>
      <c r="J81" s="14"/>
      <c r="K81" s="14"/>
      <c r="L81" s="146"/>
      <c r="M81" s="146"/>
      <c r="N81" s="146"/>
      <c r="O81" s="146"/>
      <c r="P81" s="146"/>
      <c r="Q81" s="146"/>
      <c r="R81" s="146"/>
    </row>
    <row r="82" spans="2:18" ht="15.75" thickBot="1">
      <c r="B82" s="14"/>
      <c r="C82" s="59"/>
      <c r="D82" s="14"/>
      <c r="E82" s="14"/>
      <c r="F82" s="14"/>
      <c r="G82" s="14"/>
      <c r="H82" s="14"/>
      <c r="I82" s="14"/>
      <c r="J82" s="14"/>
      <c r="K82" s="14"/>
      <c r="L82" s="146"/>
      <c r="M82" s="146"/>
      <c r="N82" s="146"/>
      <c r="O82" s="146"/>
      <c r="P82" s="146"/>
      <c r="Q82" s="146"/>
      <c r="R82" s="146"/>
    </row>
    <row r="83" spans="2:18" ht="24.75" thickBot="1">
      <c r="B83" s="150" t="s">
        <v>1527</v>
      </c>
      <c r="C83" s="770"/>
      <c r="D83" s="14"/>
      <c r="E83" s="14"/>
      <c r="F83" s="14"/>
      <c r="G83" s="14"/>
      <c r="H83" s="14"/>
      <c r="I83" s="14"/>
      <c r="J83" s="14"/>
      <c r="K83" s="14"/>
      <c r="L83" s="146"/>
      <c r="M83" s="146"/>
      <c r="N83" s="146"/>
      <c r="O83" s="146"/>
      <c r="P83" s="146"/>
      <c r="Q83" s="146"/>
      <c r="R83" s="146"/>
    </row>
    <row r="84" spans="2:18" ht="15.75" thickBot="1">
      <c r="B84" s="23"/>
      <c r="C84" s="57"/>
      <c r="D84" s="14"/>
      <c r="E84" s="14"/>
      <c r="F84" s="14"/>
      <c r="G84" s="14"/>
      <c r="H84" s="14"/>
      <c r="I84" s="14"/>
      <c r="J84" s="14"/>
      <c r="K84" s="14"/>
      <c r="L84" s="146"/>
      <c r="M84" s="146"/>
      <c r="N84" s="146"/>
      <c r="O84" s="146"/>
      <c r="P84" s="146"/>
      <c r="Q84" s="146"/>
      <c r="R84" s="146"/>
    </row>
    <row r="85" spans="2:18" ht="60.75" thickBot="1">
      <c r="B85" s="30" t="s">
        <v>1528</v>
      </c>
      <c r="C85" s="16"/>
      <c r="D85" s="886" t="s">
        <v>2829</v>
      </c>
      <c r="E85" s="14"/>
      <c r="F85" s="14"/>
      <c r="G85" s="14"/>
      <c r="H85" s="14"/>
      <c r="I85" s="14"/>
      <c r="J85" s="14"/>
      <c r="K85" s="14"/>
      <c r="L85" s="146"/>
      <c r="M85" s="146"/>
      <c r="N85" s="146"/>
      <c r="O85" s="146"/>
      <c r="P85" s="146"/>
      <c r="Q85" s="146"/>
      <c r="R85" s="146"/>
    </row>
    <row r="86" spans="2:18">
      <c r="B86" s="1254" t="s">
        <v>1530</v>
      </c>
      <c r="C86" s="172"/>
      <c r="D86" s="139" t="s">
        <v>1531</v>
      </c>
      <c r="E86" s="14"/>
      <c r="F86" s="14"/>
      <c r="G86" s="14"/>
      <c r="H86" s="14"/>
      <c r="I86" s="14"/>
      <c r="J86" s="14"/>
      <c r="K86" s="14"/>
      <c r="L86" s="146"/>
      <c r="M86" s="146"/>
      <c r="N86" s="146"/>
      <c r="O86" s="146"/>
      <c r="P86" s="146"/>
      <c r="Q86" s="146"/>
      <c r="R86" s="146"/>
    </row>
    <row r="87" spans="2:18" ht="84">
      <c r="B87" s="1255"/>
      <c r="C87" s="172"/>
      <c r="D87" s="140" t="s">
        <v>2830</v>
      </c>
      <c r="E87" s="14"/>
      <c r="F87" s="14"/>
      <c r="G87" s="14"/>
      <c r="H87" s="14"/>
      <c r="I87" s="14"/>
      <c r="J87" s="14"/>
      <c r="K87" s="14"/>
      <c r="L87" s="146"/>
      <c r="M87" s="146"/>
      <c r="N87" s="146"/>
      <c r="O87" s="146"/>
      <c r="P87" s="146"/>
      <c r="Q87" s="146"/>
      <c r="R87" s="146"/>
    </row>
    <row r="88" spans="2:18">
      <c r="B88" s="1255"/>
      <c r="C88" s="172"/>
      <c r="D88" s="139" t="s">
        <v>1534</v>
      </c>
      <c r="E88" s="14"/>
      <c r="F88" s="14"/>
      <c r="G88" s="14"/>
      <c r="H88" s="14"/>
      <c r="I88" s="14"/>
      <c r="J88" s="14"/>
      <c r="K88" s="14"/>
      <c r="L88" s="146"/>
      <c r="M88" s="146"/>
      <c r="N88" s="146"/>
      <c r="O88" s="146"/>
      <c r="P88" s="146"/>
      <c r="Q88" s="146"/>
      <c r="R88" s="146"/>
    </row>
    <row r="89" spans="2:18">
      <c r="B89" s="1255"/>
      <c r="C89" s="172"/>
      <c r="D89" s="140" t="s">
        <v>2831</v>
      </c>
      <c r="E89" s="14"/>
      <c r="F89" s="14"/>
      <c r="G89" s="14"/>
      <c r="H89" s="14"/>
      <c r="I89" s="14"/>
      <c r="J89" s="14"/>
      <c r="K89" s="14"/>
      <c r="L89" s="146"/>
      <c r="M89" s="146"/>
      <c r="N89" s="146"/>
      <c r="O89" s="146"/>
      <c r="P89" s="146"/>
      <c r="Q89" s="146"/>
      <c r="R89" s="146"/>
    </row>
    <row r="90" spans="2:18">
      <c r="B90" s="1255"/>
      <c r="C90" s="172"/>
      <c r="D90" s="140" t="s">
        <v>1536</v>
      </c>
      <c r="E90" s="14"/>
      <c r="F90" s="14"/>
      <c r="G90" s="14"/>
      <c r="H90" s="14"/>
      <c r="I90" s="14"/>
      <c r="J90" s="14"/>
      <c r="K90" s="14"/>
      <c r="L90" s="146"/>
      <c r="M90" s="146"/>
      <c r="N90" s="146"/>
      <c r="O90" s="146"/>
      <c r="P90" s="146"/>
      <c r="Q90" s="146"/>
      <c r="R90" s="146"/>
    </row>
    <row r="91" spans="2:18">
      <c r="B91" s="1255"/>
      <c r="C91" s="172"/>
      <c r="D91" s="139" t="s">
        <v>1797</v>
      </c>
      <c r="E91" s="14"/>
      <c r="F91" s="14"/>
      <c r="G91" s="14"/>
      <c r="H91" s="14"/>
      <c r="I91" s="14"/>
      <c r="J91" s="14"/>
      <c r="K91" s="14"/>
      <c r="L91" s="146"/>
      <c r="M91" s="146"/>
      <c r="N91" s="146"/>
      <c r="O91" s="146"/>
      <c r="P91" s="146"/>
      <c r="Q91" s="146"/>
      <c r="R91" s="146"/>
    </row>
    <row r="92" spans="2:18" ht="15.75" thickBot="1">
      <c r="B92" s="1256"/>
      <c r="C92" s="173"/>
      <c r="D92" s="142" t="s">
        <v>2832</v>
      </c>
      <c r="E92" s="14"/>
      <c r="F92" s="14"/>
      <c r="G92" s="14"/>
      <c r="H92" s="14"/>
      <c r="I92" s="14"/>
      <c r="J92" s="14"/>
      <c r="K92" s="14"/>
      <c r="L92" s="146"/>
      <c r="M92" s="146"/>
      <c r="N92" s="146"/>
      <c r="O92" s="146"/>
      <c r="P92" s="146"/>
      <c r="Q92" s="146"/>
      <c r="R92" s="146"/>
    </row>
    <row r="93" spans="2:18">
      <c r="B93" s="1254" t="s">
        <v>1543</v>
      </c>
      <c r="C93" s="151"/>
      <c r="D93" s="1254"/>
      <c r="E93" s="14"/>
      <c r="F93" s="14"/>
      <c r="G93" s="14"/>
      <c r="H93" s="14"/>
      <c r="I93" s="14"/>
      <c r="J93" s="14"/>
      <c r="K93" s="14"/>
      <c r="L93" s="146"/>
      <c r="M93" s="146"/>
      <c r="N93" s="146"/>
      <c r="O93" s="146"/>
      <c r="P93" s="146"/>
      <c r="Q93" s="146"/>
      <c r="R93" s="146"/>
    </row>
    <row r="94" spans="2:18" ht="15.75" thickBot="1">
      <c r="B94" s="1256"/>
      <c r="C94" s="58"/>
      <c r="D94" s="1256"/>
      <c r="E94" s="14"/>
      <c r="F94" s="14"/>
      <c r="G94" s="14"/>
      <c r="H94" s="14"/>
      <c r="I94" s="14"/>
      <c r="J94" s="14"/>
      <c r="K94" s="14"/>
      <c r="L94" s="146"/>
      <c r="M94" s="146"/>
      <c r="N94" s="146"/>
      <c r="O94" s="146"/>
      <c r="P94" s="146"/>
      <c r="Q94" s="146"/>
      <c r="R94" s="146"/>
    </row>
    <row r="95" spans="2:18" ht="96">
      <c r="B95" s="1254" t="s">
        <v>1544</v>
      </c>
      <c r="C95" s="172"/>
      <c r="D95" s="140" t="s">
        <v>2833</v>
      </c>
      <c r="E95" s="14"/>
      <c r="F95" s="14"/>
      <c r="G95" s="14"/>
      <c r="H95" s="14"/>
      <c r="I95" s="14"/>
      <c r="J95" s="14"/>
      <c r="K95" s="14"/>
      <c r="L95" s="146"/>
      <c r="M95" s="146"/>
      <c r="N95" s="146"/>
      <c r="O95" s="146"/>
      <c r="P95" s="146"/>
      <c r="Q95" s="146"/>
      <c r="R95" s="146"/>
    </row>
    <row r="96" spans="2:18" ht="204">
      <c r="B96" s="1255"/>
      <c r="C96" s="172"/>
      <c r="D96" s="140" t="s">
        <v>2834</v>
      </c>
      <c r="E96" s="14"/>
      <c r="F96" s="14"/>
      <c r="G96" s="14"/>
      <c r="H96" s="14"/>
      <c r="I96" s="14"/>
      <c r="J96" s="14"/>
      <c r="K96" s="14"/>
      <c r="L96" s="146"/>
      <c r="M96" s="146"/>
      <c r="N96" s="146"/>
      <c r="O96" s="146"/>
      <c r="P96" s="146"/>
      <c r="Q96" s="146"/>
      <c r="R96" s="146"/>
    </row>
    <row r="97" spans="2:11" ht="228">
      <c r="B97" s="1255"/>
      <c r="C97" s="172"/>
      <c r="D97" s="140" t="s">
        <v>2835</v>
      </c>
      <c r="E97" s="14"/>
      <c r="F97" s="14"/>
      <c r="G97" s="14"/>
      <c r="H97" s="14"/>
      <c r="I97" s="14"/>
      <c r="J97" s="14"/>
      <c r="K97" s="14"/>
    </row>
    <row r="98" spans="2:11" ht="96">
      <c r="B98" s="1255"/>
      <c r="C98" s="172"/>
      <c r="D98" s="140" t="s">
        <v>2836</v>
      </c>
      <c r="E98" s="14"/>
      <c r="F98" s="14"/>
      <c r="G98" s="14"/>
      <c r="H98" s="14"/>
      <c r="I98" s="14"/>
      <c r="J98" s="14"/>
      <c r="K98" s="14"/>
    </row>
    <row r="99" spans="2:11" ht="36">
      <c r="B99" s="1255"/>
      <c r="C99" s="172"/>
      <c r="D99" s="140" t="s">
        <v>2837</v>
      </c>
      <c r="E99" s="14"/>
      <c r="F99" s="14"/>
      <c r="G99" s="14"/>
      <c r="H99" s="14"/>
      <c r="I99" s="14"/>
      <c r="J99" s="14"/>
      <c r="K99" s="14"/>
    </row>
    <row r="100" spans="2:11" ht="36">
      <c r="B100" s="1255"/>
      <c r="C100" s="172"/>
      <c r="D100" s="140" t="s">
        <v>2838</v>
      </c>
      <c r="E100" s="14"/>
      <c r="F100" s="14"/>
      <c r="G100" s="14"/>
      <c r="H100" s="14"/>
      <c r="I100" s="14"/>
      <c r="J100" s="14"/>
      <c r="K100" s="14"/>
    </row>
    <row r="101" spans="2:11" ht="36">
      <c r="B101" s="1255"/>
      <c r="C101" s="172"/>
      <c r="D101" s="140" t="s">
        <v>2839</v>
      </c>
      <c r="E101" s="14"/>
      <c r="F101" s="14"/>
      <c r="G101" s="14"/>
      <c r="H101" s="14"/>
      <c r="I101" s="14"/>
      <c r="J101" s="14"/>
      <c r="K101" s="14"/>
    </row>
    <row r="102" spans="2:11" ht="24">
      <c r="B102" s="1255"/>
      <c r="C102" s="172"/>
      <c r="D102" s="140" t="s">
        <v>2840</v>
      </c>
      <c r="E102" s="14"/>
      <c r="F102" s="14"/>
      <c r="G102" s="14"/>
      <c r="H102" s="14"/>
      <c r="I102" s="14"/>
      <c r="J102" s="14"/>
      <c r="K102" s="14"/>
    </row>
    <row r="103" spans="2:11" ht="36">
      <c r="B103" s="1255"/>
      <c r="C103" s="172"/>
      <c r="D103" s="140" t="s">
        <v>2841</v>
      </c>
      <c r="E103" s="14"/>
      <c r="F103" s="14"/>
      <c r="G103" s="14"/>
      <c r="H103" s="14"/>
      <c r="I103" s="14"/>
      <c r="J103" s="14"/>
      <c r="K103" s="14"/>
    </row>
    <row r="104" spans="2:11" ht="36">
      <c r="B104" s="1255"/>
      <c r="C104" s="172"/>
      <c r="D104" s="140" t="s">
        <v>2842</v>
      </c>
      <c r="E104" s="14"/>
      <c r="F104" s="14"/>
      <c r="G104" s="14"/>
      <c r="H104" s="14"/>
      <c r="I104" s="14"/>
      <c r="J104" s="14"/>
      <c r="K104" s="14"/>
    </row>
    <row r="105" spans="2:11" ht="72.75" thickBot="1">
      <c r="B105" s="1256"/>
      <c r="C105" s="173"/>
      <c r="D105" s="142" t="s">
        <v>2843</v>
      </c>
      <c r="E105" s="14"/>
      <c r="F105" s="14"/>
      <c r="G105" s="14"/>
      <c r="H105" s="14"/>
      <c r="I105" s="14"/>
      <c r="J105" s="14"/>
      <c r="K105" s="14"/>
    </row>
    <row r="106" spans="2:11" ht="24">
      <c r="B106" s="1254" t="s">
        <v>1561</v>
      </c>
      <c r="C106" s="172"/>
      <c r="D106" s="139" t="s">
        <v>2844</v>
      </c>
      <c r="E106" s="14"/>
      <c r="F106" s="14"/>
      <c r="G106" s="14"/>
      <c r="H106" s="14"/>
      <c r="I106" s="14"/>
      <c r="J106" s="14"/>
      <c r="K106" s="14"/>
    </row>
    <row r="107" spans="2:11">
      <c r="B107" s="1255"/>
      <c r="C107" s="172"/>
      <c r="D107" s="141"/>
      <c r="E107" s="14"/>
      <c r="F107" s="14"/>
      <c r="G107" s="14"/>
      <c r="H107" s="14"/>
      <c r="I107" s="14"/>
      <c r="J107" s="14"/>
      <c r="K107" s="14"/>
    </row>
    <row r="108" spans="2:11">
      <c r="B108" s="1255"/>
      <c r="C108" s="172"/>
      <c r="D108" s="140" t="s">
        <v>1562</v>
      </c>
      <c r="E108" s="14"/>
      <c r="F108" s="14"/>
      <c r="G108" s="14"/>
      <c r="H108" s="14"/>
      <c r="I108" s="14"/>
      <c r="J108" s="14"/>
      <c r="K108" s="14"/>
    </row>
    <row r="109" spans="2:11" ht="25.5">
      <c r="B109" s="1255"/>
      <c r="C109" s="172"/>
      <c r="D109" s="140" t="s">
        <v>2845</v>
      </c>
      <c r="E109" s="14"/>
      <c r="F109" s="14"/>
      <c r="G109" s="14"/>
      <c r="H109" s="14"/>
      <c r="I109" s="14"/>
      <c r="J109" s="14"/>
      <c r="K109" s="14"/>
    </row>
    <row r="110" spans="2:11" ht="37.5">
      <c r="B110" s="1255"/>
      <c r="C110" s="172"/>
      <c r="D110" s="140" t="s">
        <v>2846</v>
      </c>
      <c r="E110" s="14"/>
      <c r="F110" s="14"/>
      <c r="G110" s="14"/>
      <c r="H110" s="14"/>
      <c r="I110" s="14"/>
      <c r="J110" s="14"/>
      <c r="K110" s="14"/>
    </row>
    <row r="111" spans="2:11" ht="37.5">
      <c r="B111" s="1255"/>
      <c r="C111" s="172"/>
      <c r="D111" s="140" t="s">
        <v>2847</v>
      </c>
      <c r="E111" s="14"/>
      <c r="F111" s="14"/>
      <c r="G111" s="14"/>
      <c r="H111" s="14"/>
      <c r="I111" s="14"/>
      <c r="J111" s="14"/>
      <c r="K111" s="14"/>
    </row>
    <row r="112" spans="2:11" ht="37.5">
      <c r="B112" s="1255"/>
      <c r="C112" s="172"/>
      <c r="D112" s="140" t="s">
        <v>2848</v>
      </c>
      <c r="E112" s="14"/>
      <c r="F112" s="14"/>
      <c r="G112" s="14"/>
      <c r="H112" s="14"/>
      <c r="I112" s="14"/>
      <c r="J112" s="14"/>
      <c r="K112" s="14"/>
    </row>
    <row r="113" spans="2:11">
      <c r="B113" s="1255"/>
      <c r="C113" s="172"/>
      <c r="D113" s="140" t="s">
        <v>2849</v>
      </c>
      <c r="E113" s="14"/>
      <c r="F113" s="14"/>
      <c r="G113" s="14"/>
      <c r="H113" s="14"/>
      <c r="I113" s="14"/>
      <c r="J113" s="14"/>
      <c r="K113" s="14"/>
    </row>
    <row r="114" spans="2:11">
      <c r="B114" s="1255"/>
      <c r="C114" s="172"/>
      <c r="D114" s="140" t="s">
        <v>2850</v>
      </c>
      <c r="E114" s="14"/>
      <c r="F114" s="14"/>
      <c r="G114" s="14"/>
      <c r="H114" s="14"/>
      <c r="I114" s="14"/>
      <c r="J114" s="14"/>
      <c r="K114" s="14"/>
    </row>
    <row r="115" spans="2:11">
      <c r="B115" s="1255"/>
      <c r="C115" s="172"/>
      <c r="D115" s="140" t="s">
        <v>2851</v>
      </c>
      <c r="E115" s="14"/>
      <c r="F115" s="14"/>
      <c r="G115" s="14"/>
      <c r="H115" s="14"/>
      <c r="I115" s="14"/>
      <c r="J115" s="14"/>
      <c r="K115" s="14"/>
    </row>
    <row r="116" spans="2:11">
      <c r="B116" s="1255"/>
      <c r="C116" s="172"/>
      <c r="D116" s="140" t="s">
        <v>2468</v>
      </c>
      <c r="E116" s="14"/>
      <c r="F116" s="14"/>
      <c r="G116" s="14"/>
      <c r="H116" s="14"/>
      <c r="I116" s="14"/>
      <c r="J116" s="14"/>
      <c r="K116" s="14"/>
    </row>
    <row r="117" spans="2:11" ht="84">
      <c r="B117" s="1255"/>
      <c r="C117" s="172"/>
      <c r="D117" s="152" t="s">
        <v>1762</v>
      </c>
      <c r="E117" s="14"/>
      <c r="F117" s="14"/>
      <c r="G117" s="14"/>
      <c r="H117" s="14"/>
      <c r="I117" s="14"/>
      <c r="J117" s="14"/>
      <c r="K117" s="14"/>
    </row>
    <row r="118" spans="2:11">
      <c r="B118" s="1255"/>
      <c r="C118" s="172"/>
      <c r="D118" s="140" t="s">
        <v>1726</v>
      </c>
      <c r="E118" s="14"/>
      <c r="F118" s="14"/>
      <c r="G118" s="14"/>
      <c r="H118" s="14"/>
      <c r="I118" s="14"/>
      <c r="J118" s="14"/>
      <c r="K118" s="14"/>
    </row>
    <row r="119" spans="2:11" ht="24">
      <c r="B119" s="1255"/>
      <c r="C119" s="172"/>
      <c r="D119" s="139" t="s">
        <v>2852</v>
      </c>
      <c r="E119" s="14"/>
      <c r="F119" s="14"/>
      <c r="G119" s="14"/>
      <c r="H119" s="14"/>
      <c r="I119" s="14"/>
      <c r="J119" s="14"/>
      <c r="K119" s="14"/>
    </row>
    <row r="120" spans="2:11">
      <c r="B120" s="1255"/>
      <c r="C120" s="172"/>
      <c r="D120" s="141"/>
      <c r="E120" s="14"/>
      <c r="F120" s="14"/>
      <c r="G120" s="14"/>
      <c r="H120" s="14"/>
      <c r="I120" s="14"/>
      <c r="J120" s="14"/>
      <c r="K120" s="14"/>
    </row>
    <row r="121" spans="2:11">
      <c r="B121" s="1255"/>
      <c r="C121" s="172"/>
      <c r="D121" s="140" t="s">
        <v>1562</v>
      </c>
      <c r="E121" s="14"/>
      <c r="F121" s="14"/>
      <c r="G121" s="14"/>
      <c r="H121" s="14"/>
      <c r="I121" s="14"/>
      <c r="J121" s="14"/>
      <c r="K121" s="14"/>
    </row>
    <row r="122" spans="2:11" ht="37.5">
      <c r="B122" s="1255"/>
      <c r="C122" s="172"/>
      <c r="D122" s="140" t="s">
        <v>2853</v>
      </c>
      <c r="E122" s="14"/>
      <c r="F122" s="14"/>
      <c r="G122" s="14"/>
      <c r="H122" s="14"/>
      <c r="I122" s="14"/>
      <c r="J122" s="14"/>
      <c r="K122" s="14"/>
    </row>
    <row r="123" spans="2:11" ht="37.5">
      <c r="B123" s="1255"/>
      <c r="C123" s="172"/>
      <c r="D123" s="140" t="s">
        <v>2854</v>
      </c>
      <c r="E123" s="14"/>
      <c r="F123" s="14"/>
      <c r="G123" s="14"/>
      <c r="H123" s="14"/>
      <c r="I123" s="14"/>
      <c r="J123" s="14"/>
      <c r="K123" s="14"/>
    </row>
    <row r="124" spans="2:11" ht="38.25" thickBot="1">
      <c r="B124" s="1256"/>
      <c r="C124" s="173"/>
      <c r="D124" s="142" t="s">
        <v>2855</v>
      </c>
      <c r="E124" s="14"/>
      <c r="F124" s="14"/>
      <c r="G124" s="14"/>
      <c r="H124" s="14"/>
      <c r="I124" s="14"/>
      <c r="J124" s="14"/>
      <c r="K124" s="14"/>
    </row>
    <row r="125" spans="2:11">
      <c r="B125" s="14"/>
      <c r="C125" s="59"/>
      <c r="D125" s="14"/>
      <c r="E125" s="14"/>
      <c r="F125" s="14"/>
      <c r="G125" s="14"/>
      <c r="H125" s="14"/>
      <c r="I125" s="14"/>
      <c r="J125" s="14"/>
      <c r="K125" s="14"/>
    </row>
    <row r="126" spans="2:11" s="146" customFormat="1">
      <c r="C126" s="59"/>
    </row>
    <row r="127" spans="2:11" s="146" customFormat="1">
      <c r="C127" s="59"/>
    </row>
    <row r="128" spans="2:11" s="146" customFormat="1">
      <c r="C128" s="59"/>
    </row>
    <row r="129" spans="3:3" s="146" customFormat="1">
      <c r="C129" s="59"/>
    </row>
    <row r="130" spans="3:3" s="146" customFormat="1">
      <c r="C130" s="59"/>
    </row>
    <row r="131" spans="3:3" s="146" customFormat="1">
      <c r="C131" s="59"/>
    </row>
    <row r="132" spans="3:3" s="146" customFormat="1">
      <c r="C132" s="59"/>
    </row>
    <row r="133" spans="3:3" s="146" customFormat="1">
      <c r="C133" s="59"/>
    </row>
    <row r="134" spans="3:3" s="146" customFormat="1">
      <c r="C134" s="59"/>
    </row>
  </sheetData>
  <sheetProtection formatCells="0" formatRows="0" insertColumns="0" insertRows="0" deleteColumns="0" deleteRows="0"/>
  <mergeCells count="38">
    <mergeCell ref="B95:B105"/>
    <mergeCell ref="B106:B124"/>
    <mergeCell ref="B66:B72"/>
    <mergeCell ref="B79:G80"/>
    <mergeCell ref="B86:B92"/>
    <mergeCell ref="B93:B94"/>
    <mergeCell ref="D93:D94"/>
    <mergeCell ref="D53:K53"/>
    <mergeCell ref="D54:K54"/>
    <mergeCell ref="B56:E56"/>
    <mergeCell ref="B57:B63"/>
    <mergeCell ref="B65:E65"/>
    <mergeCell ref="B15:B52"/>
    <mergeCell ref="D36:K36"/>
    <mergeCell ref="D37:K37"/>
    <mergeCell ref="C38:C40"/>
    <mergeCell ref="D38:D40"/>
    <mergeCell ref="F38:G38"/>
    <mergeCell ref="E39:E40"/>
    <mergeCell ref="F39:F40"/>
    <mergeCell ref="H39:H40"/>
    <mergeCell ref="D15:K15"/>
    <mergeCell ref="D20:K20"/>
    <mergeCell ref="D21:K21"/>
    <mergeCell ref="D22:D23"/>
    <mergeCell ref="E22:F22"/>
    <mergeCell ref="G22:J22"/>
    <mergeCell ref="C22:C23"/>
    <mergeCell ref="B10:D10"/>
    <mergeCell ref="F10:S10"/>
    <mergeCell ref="F11:S11"/>
    <mergeCell ref="E12:R12"/>
    <mergeCell ref="E13:R13"/>
    <mergeCell ref="A1:P1"/>
    <mergeCell ref="A2:P2"/>
    <mergeCell ref="A3:P3"/>
    <mergeCell ref="A4:D4"/>
    <mergeCell ref="A5:P5"/>
  </mergeCells>
  <conditionalFormatting sqref="D52">
    <cfRule type="containsText" dxfId="16" priority="5" operator="containsText" text="ERROR">
      <formula>NOT(ISERROR(SEARCH("ERROR",D52)))</formula>
    </cfRule>
  </conditionalFormatting>
  <conditionalFormatting sqref="F10">
    <cfRule type="notContainsBlanks" dxfId="15" priority="4">
      <formula>LEN(TRIM(F10))&gt;0</formula>
    </cfRule>
  </conditionalFormatting>
  <conditionalFormatting sqref="F11:S11">
    <cfRule type="expression" dxfId="14" priority="2">
      <formula>E11="NO SE REPORTA"</formula>
    </cfRule>
    <cfRule type="expression" dxfId="13" priority="3">
      <formula>E10="NO APLICA"</formula>
    </cfRule>
  </conditionalFormatting>
  <conditionalFormatting sqref="E12:R12">
    <cfRule type="expression" dxfId="12"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2300-000000000000}">
      <formula1>0</formula1>
    </dataValidation>
    <dataValidation type="whole" operator="greaterThanOrEqual" allowBlank="1" showInputMessage="1" showErrorMessage="1" errorTitle="ERROR" error="Valor en PESOS (sin centavos)" sqref="E18:H19 G24:J34" xr:uid="{00000000-0002-0000-2300-000001000000}">
      <formula1>0</formula1>
    </dataValidation>
    <dataValidation type="decimal" allowBlank="1" showInputMessage="1" showErrorMessage="1" errorTitle="ERROR" error="Escriba un valor entre 0% y 100%" sqref="E24:F34 D41:D51" xr:uid="{00000000-0002-0000-2300-000002000000}">
      <formula1>0</formula1>
      <formula2>1</formula2>
    </dataValidation>
    <dataValidation allowBlank="1" showInputMessage="1" showErrorMessage="1" sqref="D52 G35:J35 E41:G52" xr:uid="{00000000-0002-0000-2300-000003000000}"/>
    <dataValidation type="list" allowBlank="1" showInputMessage="1" showErrorMessage="1" sqref="E11" xr:uid="{00000000-0002-0000-2300-000004000000}">
      <formula1>REPORTE</formula1>
    </dataValidation>
    <dataValidation type="list" allowBlank="1" showInputMessage="1" showErrorMessage="1" sqref="E10" xr:uid="{00000000-0002-0000-2300-000005000000}">
      <formula1>SI</formula1>
    </dataValidation>
  </dataValidations>
  <hyperlinks>
    <hyperlink ref="B9" location="'ANEXO 3'!A1" display="VOLVER AL INDICE" xr:uid="{00000000-0004-0000-2300-000000000000}"/>
    <hyperlink ref="E61" r:id="rId1" xr:uid="{00000000-0004-0000-2300-000001000000}"/>
  </hyperlinks>
  <pageMargins left="0.25" right="0.25" top="0.75" bottom="0.75" header="0.3" footer="0.3"/>
  <pageSetup paperSize="178" orientation="landscape"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8"/>
  <sheetViews>
    <sheetView showGridLines="0" zoomScale="98" zoomScaleNormal="98" workbookViewId="0">
      <selection activeCell="C8" sqref="C8"/>
    </sheetView>
  </sheetViews>
  <sheetFormatPr defaultColWidth="10.7109375" defaultRowHeight="15"/>
  <cols>
    <col min="1" max="1" width="8.140625" bestFit="1" customWidth="1"/>
    <col min="2" max="2" width="12.85546875" bestFit="1" customWidth="1"/>
    <col min="3" max="3" width="68.85546875" customWidth="1"/>
  </cols>
  <sheetData>
    <row r="1" spans="1:4">
      <c r="A1" s="327" t="s">
        <v>1442</v>
      </c>
      <c r="B1" s="241"/>
      <c r="C1" s="241"/>
      <c r="D1" s="241"/>
    </row>
    <row r="3" spans="1:4">
      <c r="A3" s="241"/>
      <c r="B3" s="137" t="s">
        <v>2856</v>
      </c>
      <c r="C3" s="241"/>
      <c r="D3" s="241"/>
    </row>
    <row r="5" spans="1:4">
      <c r="A5" s="241"/>
      <c r="B5" s="135"/>
      <c r="C5" s="136"/>
      <c r="D5" s="134"/>
    </row>
    <row r="6" spans="1:4">
      <c r="A6" s="120" t="s">
        <v>2857</v>
      </c>
      <c r="B6" s="120" t="s">
        <v>1403</v>
      </c>
      <c r="C6" s="120" t="s">
        <v>2858</v>
      </c>
      <c r="D6" s="241"/>
    </row>
    <row r="7" spans="1:4" ht="60">
      <c r="A7" s="325">
        <v>27</v>
      </c>
      <c r="B7" s="325" t="s">
        <v>2859</v>
      </c>
      <c r="C7" s="326" t="s">
        <v>2860</v>
      </c>
      <c r="D7" s="241"/>
    </row>
    <row r="8" spans="1:4">
      <c r="A8" s="325"/>
      <c r="B8" s="325"/>
      <c r="C8" s="326"/>
      <c r="D8" s="241"/>
    </row>
    <row r="9" spans="1:4">
      <c r="A9" s="325"/>
      <c r="B9" s="325"/>
      <c r="C9" s="326"/>
      <c r="D9" s="241"/>
    </row>
    <row r="10" spans="1:4">
      <c r="A10" s="325"/>
      <c r="B10" s="325"/>
      <c r="C10" s="326"/>
      <c r="D10" s="241"/>
    </row>
    <row r="11" spans="1:4">
      <c r="A11" s="325"/>
      <c r="B11" s="325"/>
      <c r="C11" s="326"/>
      <c r="D11" s="241"/>
    </row>
    <row r="12" spans="1:4">
      <c r="A12" s="325"/>
      <c r="B12" s="325"/>
      <c r="C12" s="326"/>
      <c r="D12" s="241"/>
    </row>
    <row r="13" spans="1:4">
      <c r="A13" s="325"/>
      <c r="B13" s="325"/>
      <c r="C13" s="326"/>
      <c r="D13" s="241"/>
    </row>
    <row r="14" spans="1:4">
      <c r="A14" s="325"/>
      <c r="B14" s="325"/>
      <c r="C14" s="326"/>
      <c r="D14" s="241"/>
    </row>
    <row r="15" spans="1:4">
      <c r="A15" s="325"/>
      <c r="B15" s="325"/>
      <c r="C15" s="326"/>
      <c r="D15" s="241"/>
    </row>
    <row r="16" spans="1:4">
      <c r="A16" s="325"/>
      <c r="B16" s="325"/>
      <c r="C16" s="326"/>
      <c r="D16" s="241"/>
    </row>
    <row r="17" spans="1:3">
      <c r="A17" s="325"/>
      <c r="B17" s="325"/>
      <c r="C17" s="326"/>
    </row>
    <row r="18" spans="1:3">
      <c r="A18" s="325"/>
      <c r="B18" s="325"/>
      <c r="C18" s="326"/>
    </row>
    <row r="19" spans="1:3">
      <c r="A19" s="325"/>
      <c r="B19" s="325"/>
      <c r="C19" s="326"/>
    </row>
    <row r="20" spans="1:3">
      <c r="A20" s="325"/>
      <c r="B20" s="325"/>
      <c r="C20" s="326"/>
    </row>
    <row r="21" spans="1:3">
      <c r="A21" s="325"/>
      <c r="B21" s="325"/>
      <c r="C21" s="326"/>
    </row>
    <row r="22" spans="1:3">
      <c r="A22" s="325"/>
      <c r="B22" s="325"/>
      <c r="C22" s="326"/>
    </row>
    <row r="23" spans="1:3">
      <c r="A23" s="325"/>
      <c r="B23" s="325"/>
      <c r="C23" s="326"/>
    </row>
    <row r="24" spans="1:3">
      <c r="A24" s="325"/>
      <c r="B24" s="325"/>
      <c r="C24" s="326"/>
    </row>
    <row r="25" spans="1:3">
      <c r="A25" s="325"/>
      <c r="B25" s="325"/>
      <c r="C25" s="326"/>
    </row>
    <row r="26" spans="1:3">
      <c r="A26" s="325"/>
      <c r="B26" s="325"/>
      <c r="C26" s="326"/>
    </row>
    <row r="27" spans="1:3">
      <c r="A27" s="325"/>
      <c r="B27" s="325"/>
      <c r="C27" s="326"/>
    </row>
    <row r="28" spans="1:3">
      <c r="A28" s="325"/>
      <c r="B28" s="325"/>
      <c r="C28" s="326"/>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400-000000000000}"/>
  </hyperlinks>
  <pageMargins left="0.7" right="0.7" top="0.75" bottom="0.75" header="0.3" footer="0.3"/>
  <pageSetup paperSize="17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42"/>
  <sheetViews>
    <sheetView workbookViewId="0">
      <selection activeCell="B3" sqref="B3"/>
    </sheetView>
  </sheetViews>
  <sheetFormatPr defaultColWidth="10.7109375" defaultRowHeight="15"/>
  <cols>
    <col min="1" max="1" width="3.42578125" bestFit="1" customWidth="1"/>
    <col min="2" max="2" width="42.85546875" customWidth="1"/>
    <col min="3" max="3" width="1" customWidth="1"/>
    <col min="6" max="6" width="11.140625" customWidth="1"/>
    <col min="9" max="9" width="11.5703125" style="241"/>
  </cols>
  <sheetData>
    <row r="1" spans="1:9">
      <c r="A1" s="300" t="s">
        <v>1442</v>
      </c>
      <c r="B1" s="241"/>
      <c r="C1" s="241"/>
      <c r="D1" s="241"/>
      <c r="E1" s="241"/>
      <c r="F1" s="241"/>
      <c r="G1" s="241"/>
      <c r="H1" s="241"/>
    </row>
    <row r="2" spans="1:9">
      <c r="A2" s="241"/>
      <c r="B2" s="241" t="s">
        <v>2861</v>
      </c>
      <c r="C2" s="241"/>
      <c r="D2" s="241"/>
      <c r="E2" s="241"/>
      <c r="F2" s="241"/>
      <c r="G2" s="241"/>
      <c r="H2" s="241"/>
    </row>
    <row r="3" spans="1:9">
      <c r="A3" s="241"/>
      <c r="B3" s="241"/>
      <c r="C3" s="241" t="s">
        <v>154</v>
      </c>
      <c r="D3" s="241"/>
      <c r="E3" s="241"/>
      <c r="F3" s="241"/>
      <c r="G3" s="241"/>
      <c r="H3" s="241"/>
    </row>
    <row r="5" spans="1:9">
      <c r="A5" s="155" t="s">
        <v>1409</v>
      </c>
      <c r="B5" s="155" t="s">
        <v>727</v>
      </c>
      <c r="C5" s="241" t="s">
        <v>154</v>
      </c>
      <c r="D5" s="253">
        <f>IF(SUM('1POMCAS'!E97:E99)=1,SUM('1POMCAS'!E97:E99),"ERROR: LA SUMA DE LA COLUMNA DEBE SER 100%")</f>
        <v>1</v>
      </c>
      <c r="E5" s="254">
        <f ca="1">IF(+'1POMCAS'!G97*'1POMCAS'!$E97+'1POMCAS'!G98*'1POMCAS'!$E98+'1POMCAS'!G99*'1POMCAS'!$E99=0,"N.A.",'1POMCAS'!G97*'1POMCAS'!$E97+'1POMCAS'!G98*'1POMCAS'!$E98+'1POMCAS'!G99*'1POMCAS'!$E99)</f>
        <v>0.68599999999999994</v>
      </c>
      <c r="F5" s="254" t="str">
        <f ca="1">IF(+'1POMCAS'!H97*'1POMCAS'!$E97+'1POMCAS'!H98*'1POMCAS'!$E98+'1POMCAS'!H99*'1POMCAS'!$E99=0,"N.A.",'1POMCAS'!H97*'1POMCAS'!$E97+'1POMCAS'!H98*'1POMCAS'!$E98+'1POMCAS'!H99*'1POMCAS'!$E99)</f>
        <v>N.A.</v>
      </c>
      <c r="G5" s="254" t="str">
        <f ca="1">IF(+'1POMCAS'!I97*'1POMCAS'!$E97+'1POMCAS'!I98*'1POMCAS'!$E98+'1POMCAS'!I99*'1POMCAS'!$E99=0,"N.A.",'1POMCAS'!I97*'1POMCAS'!$E97+'1POMCAS'!I98*'1POMCAS'!$E98+'1POMCAS'!I99*'1POMCAS'!$E99)</f>
        <v>N.A.</v>
      </c>
      <c r="H5" s="254" t="str">
        <f ca="1">IF(+'1POMCAS'!J97*'1POMCAS'!$E97+'1POMCAS'!J98*'1POMCAS'!$E98+'1POMCAS'!J99*'1POMCAS'!$E99=0,"N.A.",'1POMCAS'!J97*'1POMCAS'!$E97+'1POMCAS'!J98*'1POMCAS'!$E98+'1POMCAS'!J99*'1POMCAS'!$E99)</f>
        <v>N.A.</v>
      </c>
      <c r="I5" s="254"/>
    </row>
    <row r="6" spans="1:9">
      <c r="A6" s="155" t="s">
        <v>1410</v>
      </c>
      <c r="B6" s="155" t="s">
        <v>729</v>
      </c>
      <c r="C6" s="241" t="s">
        <v>154</v>
      </c>
      <c r="D6" s="255"/>
      <c r="E6" s="255"/>
      <c r="F6" s="255"/>
      <c r="G6" s="255"/>
      <c r="H6" s="255"/>
      <c r="I6" s="255"/>
    </row>
    <row r="7" spans="1:9">
      <c r="A7" s="155" t="s">
        <v>1411</v>
      </c>
      <c r="B7" s="155" t="s">
        <v>731</v>
      </c>
      <c r="C7" s="241" t="s">
        <v>154</v>
      </c>
      <c r="D7" s="255"/>
      <c r="E7" s="255"/>
      <c r="F7" s="255"/>
      <c r="G7" s="255"/>
      <c r="H7" s="255"/>
      <c r="I7" s="255"/>
    </row>
    <row r="8" spans="1:9">
      <c r="A8" s="155" t="s">
        <v>1412</v>
      </c>
      <c r="B8" s="155" t="s">
        <v>733</v>
      </c>
      <c r="C8" s="241" t="s">
        <v>154</v>
      </c>
      <c r="D8" s="255"/>
      <c r="E8" s="255"/>
      <c r="F8" s="255"/>
      <c r="G8" s="255"/>
      <c r="H8" s="255"/>
      <c r="I8" s="255"/>
    </row>
    <row r="9" spans="1:9">
      <c r="A9" s="155" t="s">
        <v>1413</v>
      </c>
      <c r="B9" s="155" t="s">
        <v>735</v>
      </c>
      <c r="C9" s="241" t="s">
        <v>154</v>
      </c>
      <c r="D9" s="255"/>
      <c r="E9" s="255"/>
      <c r="F9" s="255"/>
      <c r="G9" s="255"/>
      <c r="H9" s="255"/>
      <c r="I9" s="255"/>
    </row>
    <row r="10" spans="1:9">
      <c r="A10" s="155" t="s">
        <v>1414</v>
      </c>
      <c r="B10" s="155" t="s">
        <v>737</v>
      </c>
      <c r="C10" s="241" t="s">
        <v>154</v>
      </c>
      <c r="D10" s="255"/>
      <c r="E10" s="255"/>
      <c r="F10" s="255"/>
      <c r="G10" s="255"/>
      <c r="H10" s="255"/>
      <c r="I10" s="255"/>
    </row>
    <row r="11" spans="1:9">
      <c r="A11" s="155" t="s">
        <v>1415</v>
      </c>
      <c r="B11" s="155" t="s">
        <v>739</v>
      </c>
      <c r="C11" s="241" t="s">
        <v>154</v>
      </c>
      <c r="D11" s="255"/>
      <c r="E11" s="255"/>
      <c r="F11" s="255"/>
      <c r="G11" s="255"/>
      <c r="H11" s="255"/>
      <c r="I11" s="255"/>
    </row>
    <row r="12" spans="1:9">
      <c r="A12" s="155" t="s">
        <v>1416</v>
      </c>
      <c r="B12" s="155" t="s">
        <v>741</v>
      </c>
      <c r="C12" s="241" t="s">
        <v>154</v>
      </c>
      <c r="D12" s="255"/>
      <c r="E12" s="255"/>
      <c r="F12" s="255"/>
      <c r="G12" s="255"/>
      <c r="H12" s="255"/>
      <c r="I12" s="255"/>
    </row>
    <row r="13" spans="1:9">
      <c r="A13" s="155" t="s">
        <v>1417</v>
      </c>
      <c r="B13" s="155" t="s">
        <v>743</v>
      </c>
      <c r="C13" s="241" t="s">
        <v>154</v>
      </c>
      <c r="D13" s="255"/>
      <c r="E13" s="255"/>
      <c r="F13" s="255"/>
      <c r="G13" s="255"/>
      <c r="H13" s="255"/>
      <c r="I13" s="255"/>
    </row>
    <row r="14" spans="1:9">
      <c r="A14" s="155" t="s">
        <v>1418</v>
      </c>
      <c r="B14" s="155" t="s">
        <v>745</v>
      </c>
      <c r="C14" s="241" t="s">
        <v>154</v>
      </c>
      <c r="D14" s="256"/>
      <c r="E14" s="256"/>
      <c r="F14" s="256"/>
      <c r="G14" s="256"/>
      <c r="H14" s="256"/>
      <c r="I14" s="256"/>
    </row>
    <row r="15" spans="1:9">
      <c r="A15" s="155" t="s">
        <v>1419</v>
      </c>
      <c r="B15" s="155" t="s">
        <v>746</v>
      </c>
      <c r="C15" s="241" t="s">
        <v>154</v>
      </c>
      <c r="D15" s="257">
        <f>IF(SUM('11Forest'!E26:E29)='11Forest'!E20,SUM('11Forest'!E26:E29),"ERROR: LA SUMA DE LA COLUMNA DEBE SER IGUAL A LA META ANUAL")</f>
        <v>0</v>
      </c>
      <c r="E15" s="257">
        <f>IF(SUM('11Forest'!F26:F29)='11Forest'!E20,SUM('11Forest'!F26:F29),"ERROR: LA SUMA DE LA COLUMNA DEBE SER IGUAL A LA META ANUAL")</f>
        <v>0</v>
      </c>
      <c r="F15" s="257">
        <f>IF(SUM('11Forest'!G26:G29)='11Forest'!E20,SUM('11Forest'!G26:G29),"ERROR: LA SUMA DE LA COLUMNA DEBE SER IGUAL A LA META ANUAL")</f>
        <v>0</v>
      </c>
      <c r="G15" s="257">
        <f>IF(SUM('11Forest'!H26:H29)='11Forest'!E20,SUM('11Forest'!H26:H29),"ERROR: LA SUMA DE LA COLUMNA DEBE SER IGUAL A LA META ANUAL")</f>
        <v>0</v>
      </c>
      <c r="H15" s="257"/>
      <c r="I15" s="257">
        <f>IF(SUM('11Forest'!E25:H25)='11Forest'!E20,SUM('11Forest'!E25:H25),"ERROR: LA SUMA DE LA COLUMNA DEBE SER IGUAL A LA META ANUAL")</f>
        <v>0</v>
      </c>
    </row>
    <row r="16" spans="1:9">
      <c r="A16" s="155" t="s">
        <v>1420</v>
      </c>
      <c r="B16" s="155" t="s">
        <v>747</v>
      </c>
      <c r="C16" s="241" t="s">
        <v>154</v>
      </c>
      <c r="D16" s="258"/>
      <c r="E16" s="258"/>
      <c r="F16" s="258"/>
      <c r="G16" s="258"/>
      <c r="H16" s="258"/>
      <c r="I16" s="258"/>
    </row>
    <row r="17" spans="1:9">
      <c r="A17" s="155" t="s">
        <v>1421</v>
      </c>
      <c r="B17" s="155" t="s">
        <v>748</v>
      </c>
      <c r="C17" s="241" t="s">
        <v>154</v>
      </c>
      <c r="D17" s="255"/>
      <c r="E17" s="255"/>
      <c r="F17" s="255"/>
      <c r="G17" s="255"/>
      <c r="H17" s="255"/>
      <c r="I17" s="255"/>
    </row>
    <row r="18" spans="1:9">
      <c r="A18" s="155" t="s">
        <v>1422</v>
      </c>
      <c r="B18" s="155" t="s">
        <v>749</v>
      </c>
      <c r="C18" s="241" t="s">
        <v>154</v>
      </c>
      <c r="D18" s="255"/>
      <c r="E18" s="255"/>
      <c r="F18" s="255"/>
      <c r="G18" s="255"/>
      <c r="H18" s="255"/>
      <c r="I18" s="255"/>
    </row>
    <row r="19" spans="1:9">
      <c r="A19" s="155" t="s">
        <v>1423</v>
      </c>
      <c r="B19" s="155" t="s">
        <v>750</v>
      </c>
      <c r="C19" s="241" t="s">
        <v>154</v>
      </c>
      <c r="D19" s="255"/>
      <c r="E19" s="255"/>
      <c r="F19" s="255"/>
      <c r="G19" s="255"/>
      <c r="H19" s="255"/>
      <c r="I19" s="255"/>
    </row>
    <row r="20" spans="1:9">
      <c r="A20" s="155" t="s">
        <v>1424</v>
      </c>
      <c r="B20" s="155" t="s">
        <v>751</v>
      </c>
      <c r="C20" s="241" t="s">
        <v>154</v>
      </c>
      <c r="D20" s="253" t="str">
        <f>IF(SUM('16MIZC'!H22:H29)=1,SUM('16MIZC'!H22:H29),"ERROR: LA SUMA DE LA COLUMNA DEBE SER 100%")</f>
        <v>ERROR: LA SUMA DE LA COLUMNA DEBE SER 100%</v>
      </c>
      <c r="E20" s="259">
        <f>SUM('16MIZC'!I22:I29)</f>
        <v>0.33329999999999999</v>
      </c>
      <c r="F20" s="255"/>
      <c r="G20" s="255"/>
      <c r="H20" s="255"/>
      <c r="I20" s="255"/>
    </row>
    <row r="21" spans="1:9">
      <c r="A21" s="155" t="s">
        <v>1425</v>
      </c>
      <c r="B21" s="155" t="s">
        <v>752</v>
      </c>
      <c r="C21" s="241" t="s">
        <v>154</v>
      </c>
      <c r="D21" s="255"/>
      <c r="E21" s="255"/>
      <c r="F21" s="255"/>
      <c r="G21" s="255"/>
      <c r="H21" s="255"/>
      <c r="I21" s="255"/>
    </row>
    <row r="22" spans="1:9">
      <c r="A22" s="155" t="s">
        <v>1426</v>
      </c>
      <c r="B22" s="155" t="s">
        <v>753</v>
      </c>
      <c r="C22" s="241" t="s">
        <v>154</v>
      </c>
      <c r="D22" s="253" t="str">
        <f>IF(SUM('18Sector'!D37:D44)=1,SUM('18Sector'!D37:D44),"ERROR: LA SUMA DE LA COLUMNA DEBE SER 100%")</f>
        <v>ERROR: LA SUMA DE LA COLUMNA DEBE SER 100%</v>
      </c>
      <c r="E22" s="255"/>
      <c r="F22" s="255"/>
      <c r="G22" s="255"/>
      <c r="H22" s="255"/>
      <c r="I22" s="255"/>
    </row>
    <row r="23" spans="1:9">
      <c r="A23" s="155" t="s">
        <v>1427</v>
      </c>
      <c r="B23" s="155" t="s">
        <v>754</v>
      </c>
      <c r="C23" s="241" t="s">
        <v>154</v>
      </c>
      <c r="D23" s="253" t="str">
        <f>IF(SUM('19GAU'!H24:H30)=1,SUM('19GAU'!H24:H30),"ERROR: LA SUMA DE LA COLUMNA DEBE SER 100%")</f>
        <v>ERROR: LA SUMA DE LA COLUMNA DEBE SER 100%</v>
      </c>
      <c r="E23" s="259">
        <f>SUM('19GAU'!I22:I30)</f>
        <v>0.55000000000000004</v>
      </c>
      <c r="F23" s="255"/>
      <c r="G23" s="255"/>
      <c r="H23" s="255"/>
      <c r="I23" s="255"/>
    </row>
    <row r="24" spans="1:9">
      <c r="A24" s="155" t="s">
        <v>1428</v>
      </c>
      <c r="B24" s="155" t="s">
        <v>755</v>
      </c>
      <c r="C24" s="241" t="s">
        <v>154</v>
      </c>
      <c r="D24" s="253" t="str">
        <f>IF(SUM('20Negoc'!D36:D41)=1,SUM('20Negoc'!D36:D41),"ERROR: LA SUMA DE LA COLUMNA DEBE SER 100%")</f>
        <v>ERROR: LA SUMA DE LA COLUMNA DEBE SER 100%</v>
      </c>
      <c r="E24" s="260" t="e">
        <f>+'20Negoc'!J30/'20Negoc'!I30</f>
        <v>#DIV/0!</v>
      </c>
      <c r="F24" s="260" t="e">
        <f>+'20Negoc'!K30/'20Negoc'!J30</f>
        <v>#DIV/0!</v>
      </c>
      <c r="G24" s="255"/>
      <c r="H24" s="255"/>
      <c r="I24" s="255"/>
    </row>
    <row r="25" spans="1:9">
      <c r="A25" s="155" t="s">
        <v>1429</v>
      </c>
      <c r="B25" s="155" t="s">
        <v>756</v>
      </c>
      <c r="C25" s="241" t="s">
        <v>154</v>
      </c>
      <c r="D25" s="255"/>
      <c r="E25" s="255"/>
      <c r="F25" s="255"/>
      <c r="G25" s="255"/>
      <c r="H25" s="255"/>
      <c r="I25" s="255"/>
    </row>
    <row r="26" spans="1:9">
      <c r="A26" s="155" t="s">
        <v>1430</v>
      </c>
      <c r="B26" s="155" t="s">
        <v>757</v>
      </c>
      <c r="C26" s="241" t="s">
        <v>154</v>
      </c>
      <c r="D26" s="253">
        <f>IF(SUM('22Autor'!F117:F121)=1,SUM('22Autor'!F117:F121),"ERROR: LA SUMA DE LA COLUMNA DEBE SER 100%")</f>
        <v>1</v>
      </c>
      <c r="E26" s="255"/>
      <c r="F26" s="255"/>
      <c r="G26" s="255"/>
      <c r="H26" s="255"/>
      <c r="I26" s="255"/>
    </row>
    <row r="27" spans="1:9">
      <c r="A27" s="155" t="s">
        <v>1431</v>
      </c>
      <c r="B27" s="155" t="s">
        <v>758</v>
      </c>
      <c r="C27" s="241" t="s">
        <v>154</v>
      </c>
      <c r="D27" s="255"/>
      <c r="E27" s="255"/>
      <c r="F27" s="255"/>
      <c r="G27" s="255"/>
      <c r="H27" s="255"/>
      <c r="I27" s="255"/>
    </row>
    <row r="28" spans="1:9" ht="15.75" thickBot="1">
      <c r="A28" s="155" t="s">
        <v>1432</v>
      </c>
      <c r="B28" s="155" t="s">
        <v>759</v>
      </c>
      <c r="C28" s="241" t="s">
        <v>154</v>
      </c>
      <c r="D28" s="255"/>
      <c r="E28" s="255"/>
      <c r="F28" s="255"/>
      <c r="G28" s="255"/>
      <c r="H28" s="255"/>
      <c r="I28" s="255"/>
    </row>
    <row r="29" spans="1:9" ht="15.75" thickBot="1">
      <c r="A29" s="155" t="s">
        <v>1433</v>
      </c>
      <c r="B29" s="155" t="s">
        <v>760</v>
      </c>
      <c r="C29" s="241" t="s">
        <v>154</v>
      </c>
      <c r="D29" s="248" t="str">
        <f>IF(SUM('25Redes'!F79:F80)=1,"","ERROR: LA SUMA DE LAS PONDERACIONES DEBE SER 100%")</f>
        <v/>
      </c>
      <c r="E29" s="261" t="e">
        <f>+'25Redes'!E79*'25Redes'!F79+'25Redes'!E80*'25Redes'!F80</f>
        <v>#DIV/0!</v>
      </c>
      <c r="F29" s="255"/>
      <c r="G29" s="255"/>
      <c r="H29" s="255"/>
      <c r="I29" s="255"/>
    </row>
    <row r="30" spans="1:9">
      <c r="A30" s="155" t="s">
        <v>1434</v>
      </c>
      <c r="B30" s="155" t="s">
        <v>761</v>
      </c>
      <c r="C30" s="241" t="s">
        <v>154</v>
      </c>
      <c r="D30" s="255"/>
      <c r="E30" s="255"/>
      <c r="F30" s="255"/>
      <c r="G30" s="255"/>
      <c r="H30" s="255"/>
      <c r="I30" s="255"/>
    </row>
    <row r="31" spans="1:9">
      <c r="A31" s="155" t="s">
        <v>1435</v>
      </c>
      <c r="B31" s="155" t="s">
        <v>762</v>
      </c>
      <c r="C31" s="241" t="s">
        <v>154</v>
      </c>
      <c r="D31" s="253" t="str">
        <f>IF(SUM('27Educa'!D36:D41)=1,SUM('27Educa'!D36:D41),"ERROR: LA SUMA DE LA COLUMNA DEBE SER 100%")</f>
        <v>ERROR: LA SUMA DE LA COLUMNA DEBE SER 100%</v>
      </c>
      <c r="E31" s="255"/>
      <c r="F31" s="255"/>
      <c r="G31" s="255"/>
      <c r="H31" s="255"/>
      <c r="I31" s="255"/>
    </row>
    <row r="32" spans="1:9">
      <c r="A32" s="241"/>
      <c r="B32" s="241"/>
      <c r="C32" s="241" t="s">
        <v>154</v>
      </c>
      <c r="D32" s="241"/>
      <c r="E32" s="241"/>
      <c r="F32" s="241"/>
      <c r="G32" s="241"/>
      <c r="H32" s="241"/>
    </row>
    <row r="33" spans="3:6">
      <c r="C33" s="241" t="s">
        <v>154</v>
      </c>
      <c r="D33" s="301" t="s">
        <v>1444</v>
      </c>
      <c r="E33" s="241"/>
      <c r="F33" s="321" t="s">
        <v>1445</v>
      </c>
    </row>
    <row r="34" spans="3:6">
      <c r="C34" s="241" t="s">
        <v>154</v>
      </c>
      <c r="D34" s="301" t="s">
        <v>1915</v>
      </c>
      <c r="E34" s="241"/>
      <c r="F34" s="321" t="s">
        <v>1916</v>
      </c>
    </row>
    <row r="35" spans="3:6">
      <c r="C35" s="241" t="s">
        <v>154</v>
      </c>
      <c r="D35" s="241"/>
      <c r="E35" s="241"/>
      <c r="F35" s="241"/>
    </row>
    <row r="36" spans="3:6">
      <c r="C36" s="241" t="s">
        <v>154</v>
      </c>
      <c r="D36" s="241"/>
      <c r="E36" s="241"/>
      <c r="F36" s="241"/>
    </row>
    <row r="37" spans="3:6">
      <c r="C37" s="241" t="s">
        <v>154</v>
      </c>
      <c r="D37" s="241"/>
      <c r="E37" s="241"/>
      <c r="F37" s="241"/>
    </row>
    <row r="38" spans="3:6">
      <c r="C38" s="241" t="s">
        <v>154</v>
      </c>
      <c r="D38" s="241"/>
      <c r="E38" s="241"/>
      <c r="F38" s="241"/>
    </row>
    <row r="39" spans="3:6">
      <c r="C39" s="241" t="s">
        <v>154</v>
      </c>
      <c r="D39" s="241"/>
      <c r="E39" s="241"/>
      <c r="F39" s="241"/>
    </row>
    <row r="40" spans="3:6">
      <c r="C40" s="241" t="s">
        <v>154</v>
      </c>
      <c r="D40" s="241"/>
      <c r="E40" s="241"/>
      <c r="F40" s="241"/>
    </row>
    <row r="41" spans="3:6">
      <c r="C41" s="241" t="s">
        <v>154</v>
      </c>
      <c r="D41" s="241"/>
      <c r="E41" s="241"/>
      <c r="F41" s="241"/>
    </row>
    <row r="42" spans="3:6">
      <c r="C42" s="241" t="s">
        <v>154</v>
      </c>
      <c r="D42" s="241"/>
      <c r="E42" s="241"/>
      <c r="F42" s="241"/>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31">
    <cfRule type="containsText" dxfId="11" priority="12" operator="containsText" text="ERROR">
      <formula>NOT(ISERROR(SEARCH("ERROR",D31)))</formula>
    </cfRule>
  </conditionalFormatting>
  <conditionalFormatting sqref="D5">
    <cfRule type="containsText" dxfId="10" priority="11" operator="containsText" text="ERROR">
      <formula>NOT(ISERROR(SEARCH("ERROR",D5)))</formula>
    </cfRule>
  </conditionalFormatting>
  <conditionalFormatting sqref="D20">
    <cfRule type="containsText" dxfId="9" priority="10" operator="containsText" text="ERROR">
      <formula>NOT(ISERROR(SEARCH("ERROR",D20)))</formula>
    </cfRule>
  </conditionalFormatting>
  <conditionalFormatting sqref="D22">
    <cfRule type="containsText" dxfId="8" priority="9" operator="containsText" text="ERROR">
      <formula>NOT(ISERROR(SEARCH("ERROR",D22)))</formula>
    </cfRule>
  </conditionalFormatting>
  <conditionalFormatting sqref="D23">
    <cfRule type="containsText" dxfId="7" priority="8" operator="containsText" text="ERROR">
      <formula>NOT(ISERROR(SEARCH("ERROR",D23)))</formula>
    </cfRule>
  </conditionalFormatting>
  <conditionalFormatting sqref="D24">
    <cfRule type="containsText" dxfId="6" priority="7" operator="containsText" text="ERROR">
      <formula>NOT(ISERROR(SEARCH("ERROR",D24)))</formula>
    </cfRule>
  </conditionalFormatting>
  <conditionalFormatting sqref="D15">
    <cfRule type="containsText" dxfId="5" priority="6" operator="containsText" text="ERROR">
      <formula>NOT(ISERROR(SEARCH("ERROR",D15)))</formula>
    </cfRule>
  </conditionalFormatting>
  <conditionalFormatting sqref="H15">
    <cfRule type="containsText" dxfId="4" priority="4" operator="containsText" text="ERROR">
      <formula>NOT(ISERROR(SEARCH("ERROR",H15)))</formula>
    </cfRule>
  </conditionalFormatting>
  <conditionalFormatting sqref="E15:G15">
    <cfRule type="containsText" dxfId="3" priority="5" operator="containsText" text="ERROR">
      <formula>NOT(ISERROR(SEARCH("ERROR",E15)))</formula>
    </cfRule>
  </conditionalFormatting>
  <conditionalFormatting sqref="D29">
    <cfRule type="containsText" dxfId="2" priority="3" operator="containsText" text="ERROR">
      <formula>NOT(ISERROR(SEARCH("ERROR",D29)))</formula>
    </cfRule>
  </conditionalFormatting>
  <conditionalFormatting sqref="D26">
    <cfRule type="containsText" dxfId="1" priority="2" operator="containsText" text="ERROR">
      <formula>NOT(ISERROR(SEARCH("ERROR",D26)))</formula>
    </cfRule>
  </conditionalFormatting>
  <conditionalFormatting sqref="I15">
    <cfRule type="containsText" dxfId="0" priority="1" operator="containsText" text="ERROR">
      <formula>NOT(ISERROR(SEARCH("ERROR",I15)))</formula>
    </cfRule>
  </conditionalFormatting>
  <hyperlinks>
    <hyperlink ref="A1" location="'ANEXO 3'!A1" display="VOLVER AL INDICE" xr:uid="{00000000-0004-0000-25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3"/>
  <sheetViews>
    <sheetView topLeftCell="A6" zoomScale="140" zoomScaleNormal="140" zoomScaleSheetLayoutView="100" workbookViewId="0">
      <selection activeCell="B23" sqref="B23"/>
    </sheetView>
  </sheetViews>
  <sheetFormatPr defaultColWidth="11.42578125" defaultRowHeight="12.75"/>
  <cols>
    <col min="1" max="1" width="47.42578125" style="356" customWidth="1"/>
    <col min="2" max="2" width="84.140625" style="356" customWidth="1"/>
    <col min="3" max="16384" width="11.42578125" style="356"/>
  </cols>
  <sheetData>
    <row r="1" spans="1:2" ht="130.5" customHeight="1" thickBot="1">
      <c r="A1" s="951"/>
      <c r="B1" s="951"/>
    </row>
    <row r="2" spans="1:2" ht="27" customHeight="1" thickBot="1">
      <c r="A2" s="952" t="s">
        <v>763</v>
      </c>
      <c r="B2" s="953"/>
    </row>
    <row r="3" spans="1:2" ht="24.75" customHeight="1" thickBot="1">
      <c r="A3" s="954" t="s">
        <v>764</v>
      </c>
      <c r="B3" s="955"/>
    </row>
    <row r="4" spans="1:2">
      <c r="A4" s="357" t="s">
        <v>765</v>
      </c>
      <c r="B4" s="357" t="s">
        <v>766</v>
      </c>
    </row>
    <row r="5" spans="1:2" ht="36">
      <c r="A5" s="358" t="s">
        <v>767</v>
      </c>
      <c r="B5" s="359" t="s">
        <v>768</v>
      </c>
    </row>
    <row r="6" spans="1:2" ht="34.5" customHeight="1">
      <c r="A6" s="358" t="s">
        <v>769</v>
      </c>
      <c r="B6" s="359" t="s">
        <v>770</v>
      </c>
    </row>
    <row r="7" spans="1:2" ht="24" customHeight="1">
      <c r="A7" s="358" t="s">
        <v>771</v>
      </c>
      <c r="B7" s="359" t="s">
        <v>772</v>
      </c>
    </row>
    <row r="8" spans="1:2" ht="32.25" customHeight="1">
      <c r="A8" s="358" t="s">
        <v>773</v>
      </c>
      <c r="B8" s="359" t="s">
        <v>774</v>
      </c>
    </row>
    <row r="9" spans="1:2" ht="49.5" customHeight="1">
      <c r="A9" s="358" t="s">
        <v>775</v>
      </c>
      <c r="B9" s="359" t="s">
        <v>776</v>
      </c>
    </row>
    <row r="10" spans="1:2" ht="21" customHeight="1">
      <c r="A10" s="358" t="s">
        <v>777</v>
      </c>
      <c r="B10" s="359" t="s">
        <v>778</v>
      </c>
    </row>
    <row r="11" spans="1:2" ht="40.5" customHeight="1">
      <c r="A11" s="358" t="s">
        <v>779</v>
      </c>
      <c r="B11" s="359" t="s">
        <v>780</v>
      </c>
    </row>
    <row r="12" spans="1:2" ht="21.75" customHeight="1">
      <c r="A12" s="358" t="s">
        <v>781</v>
      </c>
      <c r="B12" s="359" t="s">
        <v>782</v>
      </c>
    </row>
    <row r="13" spans="1:2" ht="21.75" customHeight="1">
      <c r="A13" s="358" t="s">
        <v>783</v>
      </c>
      <c r="B13" s="359" t="s">
        <v>784</v>
      </c>
    </row>
    <row r="14" spans="1:2" ht="21" customHeight="1">
      <c r="A14" s="358" t="s">
        <v>785</v>
      </c>
      <c r="B14" s="359" t="s">
        <v>786</v>
      </c>
    </row>
    <row r="15" spans="1:2" ht="24.75" customHeight="1">
      <c r="A15" s="358" t="s">
        <v>787</v>
      </c>
      <c r="B15" s="359" t="s">
        <v>788</v>
      </c>
    </row>
    <row r="16" spans="1:2" ht="22.5" customHeight="1">
      <c r="A16" s="358" t="s">
        <v>789</v>
      </c>
      <c r="B16" s="359" t="s">
        <v>790</v>
      </c>
    </row>
    <row r="17" spans="1:2" ht="39" customHeight="1">
      <c r="A17" s="358" t="s">
        <v>791</v>
      </c>
      <c r="B17" s="359" t="s">
        <v>792</v>
      </c>
    </row>
    <row r="18" spans="1:2" ht="22.5" customHeight="1">
      <c r="A18" s="358" t="s">
        <v>793</v>
      </c>
      <c r="B18" s="359" t="s">
        <v>794</v>
      </c>
    </row>
    <row r="19" spans="1:2" ht="21.75" customHeight="1">
      <c r="A19" s="358" t="s">
        <v>795</v>
      </c>
      <c r="B19" s="359" t="s">
        <v>796</v>
      </c>
    </row>
    <row r="20" spans="1:2" ht="25.5" customHeight="1">
      <c r="A20" s="358" t="s">
        <v>797</v>
      </c>
      <c r="B20" s="359" t="s">
        <v>798</v>
      </c>
    </row>
    <row r="21" spans="1:2" ht="25.5" customHeight="1">
      <c r="A21" s="358" t="s">
        <v>799</v>
      </c>
      <c r="B21" s="359" t="s">
        <v>800</v>
      </c>
    </row>
    <row r="22" spans="1:2" ht="21" customHeight="1">
      <c r="A22" s="358" t="s">
        <v>801</v>
      </c>
      <c r="B22" s="359" t="s">
        <v>802</v>
      </c>
    </row>
    <row r="23" spans="1:2" ht="98.25" customHeight="1" thickBot="1">
      <c r="A23" s="360" t="s">
        <v>803</v>
      </c>
      <c r="B23" s="361" t="s">
        <v>804</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R308"/>
  <sheetViews>
    <sheetView zoomScale="80" zoomScaleNormal="80" zoomScaleSheetLayoutView="100" workbookViewId="0">
      <selection activeCell="AA2" sqref="AA2"/>
    </sheetView>
  </sheetViews>
  <sheetFormatPr defaultColWidth="11.42578125" defaultRowHeight="36" customHeight="1"/>
  <cols>
    <col min="1" max="1" width="10" style="241" customWidth="1"/>
    <col min="2" max="2" width="14.7109375" style="241" customWidth="1"/>
    <col min="3" max="3" width="14.140625" style="241" customWidth="1"/>
    <col min="4" max="4" width="16.140625" style="241" customWidth="1"/>
    <col min="5" max="9" width="11.42578125" style="241"/>
    <col min="10" max="10" width="96.140625" style="241" customWidth="1"/>
    <col min="11" max="11" width="21.140625" style="241" hidden="1" customWidth="1"/>
    <col min="12" max="12" width="22" style="241" hidden="1" customWidth="1"/>
    <col min="13" max="13" width="17.28515625" style="241" hidden="1" customWidth="1"/>
    <col min="14" max="14" width="23" style="241" customWidth="1"/>
    <col min="15" max="15" width="25.7109375" style="241" customWidth="1"/>
    <col min="16" max="16" width="21.140625" style="241" customWidth="1"/>
    <col min="17" max="17" width="23.7109375" style="241" customWidth="1"/>
    <col min="18" max="18" width="18.85546875" style="241" customWidth="1"/>
    <col min="19" max="19" width="19.28515625" style="241" customWidth="1"/>
    <col min="20" max="20" width="21" style="241" customWidth="1"/>
    <col min="21" max="21" width="17.7109375" style="241" customWidth="1"/>
    <col min="22" max="22" width="26.85546875" style="241" customWidth="1"/>
    <col min="23" max="23" width="39.140625" style="241" customWidth="1"/>
    <col min="24" max="24" width="15.140625" style="241" customWidth="1"/>
    <col min="25" max="25" width="11.42578125" style="241" customWidth="1"/>
    <col min="26" max="16384" width="11.42578125" style="241"/>
  </cols>
  <sheetData>
    <row r="1" spans="1:25" ht="109.5" customHeight="1">
      <c r="A1" s="956" t="s">
        <v>805</v>
      </c>
      <c r="B1" s="957"/>
      <c r="C1" s="957"/>
      <c r="D1" s="957"/>
      <c r="E1" s="957"/>
      <c r="F1" s="958"/>
      <c r="G1" s="958"/>
      <c r="H1" s="958"/>
      <c r="I1" s="957"/>
      <c r="J1" s="957"/>
      <c r="K1" s="957"/>
      <c r="L1" s="957"/>
      <c r="M1" s="957"/>
      <c r="N1" s="957"/>
      <c r="O1" s="957"/>
      <c r="P1" s="957"/>
      <c r="Q1" s="957"/>
      <c r="R1" s="957"/>
      <c r="S1" s="957"/>
      <c r="T1" s="957"/>
      <c r="U1" s="957"/>
      <c r="V1" s="959"/>
    </row>
    <row r="2" spans="1:25" ht="26.25" customHeight="1">
      <c r="A2" s="960" t="s">
        <v>806</v>
      </c>
      <c r="B2" s="961"/>
      <c r="C2" s="961"/>
      <c r="D2" s="961"/>
      <c r="E2" s="961"/>
      <c r="F2" s="962"/>
      <c r="G2" s="962"/>
      <c r="H2" s="962"/>
      <c r="I2" s="961"/>
      <c r="J2" s="961"/>
      <c r="K2" s="961"/>
      <c r="L2" s="961"/>
      <c r="M2" s="961"/>
      <c r="N2" s="961"/>
      <c r="O2" s="961"/>
      <c r="P2" s="961"/>
      <c r="Q2" s="961"/>
      <c r="R2" s="961"/>
      <c r="S2" s="961"/>
      <c r="T2" s="961"/>
      <c r="U2" s="961"/>
      <c r="V2" s="963"/>
    </row>
    <row r="3" spans="1:25" ht="26.25" customHeight="1" thickBot="1">
      <c r="A3" s="964" t="s">
        <v>807</v>
      </c>
      <c r="B3" s="965"/>
      <c r="C3" s="965"/>
      <c r="D3" s="965"/>
      <c r="E3" s="965"/>
      <c r="F3" s="966"/>
      <c r="G3" s="966"/>
      <c r="H3" s="966"/>
      <c r="I3" s="965"/>
      <c r="J3" s="965"/>
      <c r="K3" s="965"/>
      <c r="L3" s="965"/>
      <c r="M3" s="965"/>
      <c r="N3" s="965"/>
      <c r="O3" s="965"/>
      <c r="P3" s="965"/>
      <c r="Q3" s="965"/>
      <c r="R3" s="965"/>
      <c r="S3" s="965"/>
      <c r="T3" s="965"/>
      <c r="U3" s="965"/>
      <c r="V3" s="967"/>
    </row>
    <row r="4" spans="1:25" ht="26.25" customHeight="1" thickTop="1" thickBot="1">
      <c r="A4" s="968" t="s">
        <v>808</v>
      </c>
      <c r="B4" s="969"/>
      <c r="C4" s="969"/>
      <c r="D4" s="969"/>
      <c r="E4" s="969"/>
      <c r="F4" s="969"/>
      <c r="G4" s="969"/>
      <c r="H4" s="969"/>
      <c r="I4" s="970"/>
      <c r="J4" s="971" t="s">
        <v>809</v>
      </c>
      <c r="K4" s="971" t="s">
        <v>810</v>
      </c>
      <c r="L4" s="973" t="s">
        <v>811</v>
      </c>
      <c r="M4" s="973"/>
      <c r="N4" s="971" t="s">
        <v>812</v>
      </c>
      <c r="O4" s="976" t="s">
        <v>813</v>
      </c>
      <c r="P4" s="977"/>
      <c r="Q4" s="977"/>
      <c r="R4" s="978"/>
      <c r="S4" s="979" t="s">
        <v>814</v>
      </c>
      <c r="T4" s="971" t="s">
        <v>815</v>
      </c>
      <c r="U4" s="981" t="s">
        <v>816</v>
      </c>
      <c r="V4" s="971" t="s">
        <v>817</v>
      </c>
      <c r="W4" s="974" t="s">
        <v>818</v>
      </c>
      <c r="X4" s="975" t="s">
        <v>819</v>
      </c>
    </row>
    <row r="5" spans="1:25" ht="36" customHeight="1" thickTop="1" thickBot="1">
      <c r="A5" s="377" t="s">
        <v>820</v>
      </c>
      <c r="B5" s="377" t="s">
        <v>821</v>
      </c>
      <c r="C5" s="378" t="s">
        <v>822</v>
      </c>
      <c r="D5" s="377" t="s">
        <v>823</v>
      </c>
      <c r="E5" s="377" t="s">
        <v>824</v>
      </c>
      <c r="F5" s="377" t="s">
        <v>825</v>
      </c>
      <c r="G5" s="377" t="s">
        <v>826</v>
      </c>
      <c r="H5" s="377" t="s">
        <v>827</v>
      </c>
      <c r="I5" s="379" t="s">
        <v>828</v>
      </c>
      <c r="J5" s="972"/>
      <c r="K5" s="972"/>
      <c r="L5" s="822" t="s">
        <v>829</v>
      </c>
      <c r="M5" s="380" t="s">
        <v>830</v>
      </c>
      <c r="N5" s="972"/>
      <c r="O5" s="381" t="s">
        <v>831</v>
      </c>
      <c r="P5" s="822" t="s">
        <v>832</v>
      </c>
      <c r="Q5" s="381" t="s">
        <v>833</v>
      </c>
      <c r="R5" s="381" t="s">
        <v>834</v>
      </c>
      <c r="S5" s="980"/>
      <c r="T5" s="972"/>
      <c r="U5" s="971"/>
      <c r="V5" s="972"/>
      <c r="W5" s="974"/>
      <c r="X5" s="975"/>
      <c r="Y5" s="382"/>
    </row>
    <row r="6" spans="1:25" s="382" customFormat="1" ht="36" customHeight="1" thickTop="1" thickBot="1">
      <c r="A6" s="383" t="s">
        <v>835</v>
      </c>
      <c r="B6" s="383"/>
      <c r="C6" s="383"/>
      <c r="D6" s="383"/>
      <c r="E6" s="383"/>
      <c r="F6" s="384"/>
      <c r="G6" s="384"/>
      <c r="H6" s="384"/>
      <c r="I6" s="570"/>
      <c r="J6" s="385" t="s">
        <v>836</v>
      </c>
      <c r="K6" s="386">
        <f>+K7+K142</f>
        <v>110287829894.19</v>
      </c>
      <c r="L6" s="386">
        <f>+L7</f>
        <v>222000000</v>
      </c>
      <c r="M6" s="386">
        <f>+M7</f>
        <v>0</v>
      </c>
      <c r="N6" s="386">
        <f>+N7+N142</f>
        <v>112896990321.19</v>
      </c>
      <c r="O6" s="386">
        <f>+O7+O142</f>
        <v>10218561336.68</v>
      </c>
      <c r="P6" s="386">
        <f>+P7+P142</f>
        <v>94665852996.770004</v>
      </c>
      <c r="Q6" s="386">
        <f>+Q7+Q142</f>
        <v>4141628190.8299999</v>
      </c>
      <c r="R6" s="386">
        <f>+R7+R142</f>
        <v>3870947797</v>
      </c>
      <c r="S6" s="386">
        <f>+S7</f>
        <v>0</v>
      </c>
      <c r="T6" s="386">
        <f>+T7+T142</f>
        <v>88967734005.960007</v>
      </c>
      <c r="U6" s="891">
        <f t="shared" ref="U6:U11" si="0">+T6/N6*100</f>
        <v>78.804345229087446</v>
      </c>
      <c r="V6" s="383"/>
      <c r="W6" s="383" t="s">
        <v>837</v>
      </c>
      <c r="X6" s="383" t="s">
        <v>838</v>
      </c>
      <c r="Y6" s="571" t="s">
        <v>838</v>
      </c>
    </row>
    <row r="7" spans="1:25" ht="22.5" customHeight="1" thickTop="1" thickBot="1">
      <c r="A7" s="390">
        <v>1</v>
      </c>
      <c r="B7" s="387" t="s">
        <v>839</v>
      </c>
      <c r="C7" s="387"/>
      <c r="D7" s="387"/>
      <c r="E7" s="387"/>
      <c r="F7" s="388"/>
      <c r="G7" s="388"/>
      <c r="H7" s="388"/>
      <c r="I7" s="388"/>
      <c r="J7" s="572" t="s">
        <v>840</v>
      </c>
      <c r="K7" s="389">
        <f>+K8+K18</f>
        <v>110276585740.77</v>
      </c>
      <c r="L7" s="389">
        <f>+L8+L18</f>
        <v>222000000</v>
      </c>
      <c r="M7" s="389">
        <f>+M8+M18</f>
        <v>0</v>
      </c>
      <c r="N7" s="389">
        <f t="shared" ref="N7:N71" si="1">K7+L7-M7</f>
        <v>110498585740.77</v>
      </c>
      <c r="O7" s="389">
        <f t="shared" ref="O7:S7" si="2">+O8+O18</f>
        <v>10218561336.68</v>
      </c>
      <c r="P7" s="389">
        <f t="shared" si="2"/>
        <v>92278692569.770004</v>
      </c>
      <c r="Q7" s="389">
        <f t="shared" si="2"/>
        <v>4130384037.4099998</v>
      </c>
      <c r="R7" s="389">
        <f t="shared" si="2"/>
        <v>3870947797</v>
      </c>
      <c r="S7" s="389">
        <f t="shared" si="2"/>
        <v>0</v>
      </c>
      <c r="T7" s="389">
        <f>+T8+T18</f>
        <v>88365344978.110001</v>
      </c>
      <c r="U7" s="892">
        <f t="shared" si="0"/>
        <v>79.969661499030721</v>
      </c>
      <c r="V7" s="390"/>
      <c r="W7" s="390" t="s">
        <v>841</v>
      </c>
      <c r="X7" s="390"/>
      <c r="Y7" s="571" t="s">
        <v>838</v>
      </c>
    </row>
    <row r="8" spans="1:25" ht="22.5" customHeight="1" thickTop="1" thickBot="1">
      <c r="A8" s="394">
        <v>1</v>
      </c>
      <c r="B8" s="391" t="s">
        <v>839</v>
      </c>
      <c r="C8" s="391" t="s">
        <v>839</v>
      </c>
      <c r="D8" s="391"/>
      <c r="E8" s="391"/>
      <c r="F8" s="392"/>
      <c r="G8" s="392"/>
      <c r="H8" s="392"/>
      <c r="I8" s="392"/>
      <c r="J8" s="573" t="s">
        <v>842</v>
      </c>
      <c r="K8" s="393">
        <f t="shared" ref="K8:S8" si="3">+K9</f>
        <v>79876564217.790009</v>
      </c>
      <c r="L8" s="393">
        <f>+L9</f>
        <v>0</v>
      </c>
      <c r="M8" s="393">
        <f>+M9</f>
        <v>0</v>
      </c>
      <c r="N8" s="393">
        <f t="shared" si="1"/>
        <v>79876564217.790009</v>
      </c>
      <c r="O8" s="393">
        <f t="shared" si="3"/>
        <v>0</v>
      </c>
      <c r="P8" s="393">
        <f t="shared" si="3"/>
        <v>79876564218</v>
      </c>
      <c r="Q8" s="393">
        <f t="shared" si="3"/>
        <v>0</v>
      </c>
      <c r="R8" s="393">
        <f t="shared" si="3"/>
        <v>0</v>
      </c>
      <c r="S8" s="393">
        <f t="shared" si="3"/>
        <v>0</v>
      </c>
      <c r="T8" s="393">
        <f>+T9</f>
        <v>59571624539.480003</v>
      </c>
      <c r="U8" s="893">
        <f t="shared" si="0"/>
        <v>74.579603069873016</v>
      </c>
      <c r="V8" s="394"/>
      <c r="W8" s="394" t="s">
        <v>843</v>
      </c>
      <c r="X8" s="394" t="s">
        <v>844</v>
      </c>
      <c r="Y8" s="571" t="s">
        <v>838</v>
      </c>
    </row>
    <row r="9" spans="1:25" ht="22.5" customHeight="1" thickTop="1" thickBot="1">
      <c r="A9" s="398" t="s">
        <v>835</v>
      </c>
      <c r="B9" s="395" t="s">
        <v>839</v>
      </c>
      <c r="C9" s="395" t="s">
        <v>839</v>
      </c>
      <c r="D9" s="395" t="s">
        <v>839</v>
      </c>
      <c r="E9" s="395"/>
      <c r="F9" s="396"/>
      <c r="G9" s="396"/>
      <c r="H9" s="396"/>
      <c r="I9" s="396"/>
      <c r="J9" s="574" t="s">
        <v>845</v>
      </c>
      <c r="K9" s="397">
        <f>+K10+K15</f>
        <v>79876564217.790009</v>
      </c>
      <c r="L9" s="397">
        <f>+L10+L15</f>
        <v>0</v>
      </c>
      <c r="M9" s="397">
        <f>+M10+M15</f>
        <v>0</v>
      </c>
      <c r="N9" s="397">
        <f t="shared" si="1"/>
        <v>79876564217.790009</v>
      </c>
      <c r="O9" s="397">
        <f t="shared" ref="O9:T9" si="4">+O10+O15</f>
        <v>0</v>
      </c>
      <c r="P9" s="397">
        <f t="shared" si="4"/>
        <v>79876564218</v>
      </c>
      <c r="Q9" s="397">
        <f t="shared" si="4"/>
        <v>0</v>
      </c>
      <c r="R9" s="397">
        <f t="shared" si="4"/>
        <v>0</v>
      </c>
      <c r="S9" s="397">
        <f t="shared" si="4"/>
        <v>0</v>
      </c>
      <c r="T9" s="397">
        <f t="shared" si="4"/>
        <v>59571624539.480003</v>
      </c>
      <c r="U9" s="894">
        <f t="shared" si="0"/>
        <v>74.579603069873016</v>
      </c>
      <c r="V9" s="395"/>
      <c r="W9" s="398" t="s">
        <v>846</v>
      </c>
      <c r="X9" s="398" t="s">
        <v>847</v>
      </c>
      <c r="Y9" s="571" t="s">
        <v>838</v>
      </c>
    </row>
    <row r="10" spans="1:25" ht="22.5" customHeight="1" thickTop="1" thickBot="1">
      <c r="A10" s="821" t="s">
        <v>835</v>
      </c>
      <c r="B10" s="821" t="s">
        <v>839</v>
      </c>
      <c r="C10" s="821" t="s">
        <v>839</v>
      </c>
      <c r="D10" s="821" t="s">
        <v>839</v>
      </c>
      <c r="E10" s="821" t="s">
        <v>839</v>
      </c>
      <c r="F10" s="399"/>
      <c r="G10" s="399"/>
      <c r="H10" s="399"/>
      <c r="I10" s="399"/>
      <c r="J10" s="575" t="s">
        <v>848</v>
      </c>
      <c r="K10" s="400">
        <f>+K11+K12+K13+K14</f>
        <v>79876564217.790009</v>
      </c>
      <c r="L10" s="400">
        <f>+L11+L12</f>
        <v>0</v>
      </c>
      <c r="M10" s="400">
        <f>+M11+M12</f>
        <v>0</v>
      </c>
      <c r="N10" s="400">
        <f t="shared" si="1"/>
        <v>79876564217.790009</v>
      </c>
      <c r="O10" s="400">
        <f>+O11+O12+O13+O14</f>
        <v>0</v>
      </c>
      <c r="P10" s="400">
        <f>+P11+P12+P13+P14</f>
        <v>79876564218</v>
      </c>
      <c r="Q10" s="400">
        <f>+Q11+Q12+Q13+Q14</f>
        <v>0</v>
      </c>
      <c r="R10" s="400">
        <f>+R11+R12+R13+R14</f>
        <v>0</v>
      </c>
      <c r="S10" s="400">
        <f>+S11+S12</f>
        <v>0</v>
      </c>
      <c r="T10" s="400">
        <f>+T11+T12+T13+T14</f>
        <v>59571624539.480003</v>
      </c>
      <c r="U10" s="895">
        <f t="shared" si="0"/>
        <v>74.579603069873016</v>
      </c>
      <c r="V10" s="401"/>
      <c r="W10" s="401" t="s">
        <v>849</v>
      </c>
      <c r="X10" s="401" t="s">
        <v>850</v>
      </c>
      <c r="Y10" s="571" t="s">
        <v>838</v>
      </c>
    </row>
    <row r="11" spans="1:25" s="137" customFormat="1" ht="22.5" customHeight="1" thickTop="1" thickBot="1">
      <c r="A11" s="399" t="s">
        <v>835</v>
      </c>
      <c r="B11" s="399" t="s">
        <v>839</v>
      </c>
      <c r="C11" s="399" t="s">
        <v>839</v>
      </c>
      <c r="D11" s="399" t="s">
        <v>839</v>
      </c>
      <c r="E11" s="399" t="s">
        <v>839</v>
      </c>
      <c r="F11" s="821" t="s">
        <v>839</v>
      </c>
      <c r="G11" s="399"/>
      <c r="H11" s="399"/>
      <c r="I11" s="399"/>
      <c r="J11" s="576" t="s">
        <v>851</v>
      </c>
      <c r="K11" s="402">
        <v>67633920000</v>
      </c>
      <c r="L11" s="402">
        <v>0</v>
      </c>
      <c r="M11" s="402">
        <v>0</v>
      </c>
      <c r="N11" s="402">
        <f t="shared" si="1"/>
        <v>67633920000</v>
      </c>
      <c r="O11" s="402"/>
      <c r="P11" s="402">
        <v>67633920000</v>
      </c>
      <c r="Q11" s="402"/>
      <c r="R11" s="402"/>
      <c r="S11" s="402"/>
      <c r="T11" s="402">
        <v>44159414587</v>
      </c>
      <c r="U11" s="896">
        <f t="shared" si="0"/>
        <v>65.291815980797793</v>
      </c>
      <c r="V11" s="403"/>
      <c r="W11" s="403"/>
      <c r="X11" s="403"/>
      <c r="Y11" s="571" t="s">
        <v>838</v>
      </c>
    </row>
    <row r="12" spans="1:25" ht="22.5" customHeight="1" thickTop="1" thickBot="1">
      <c r="A12" s="399" t="s">
        <v>835</v>
      </c>
      <c r="B12" s="399" t="s">
        <v>839</v>
      </c>
      <c r="C12" s="399" t="s">
        <v>839</v>
      </c>
      <c r="D12" s="399" t="s">
        <v>839</v>
      </c>
      <c r="E12" s="399" t="s">
        <v>839</v>
      </c>
      <c r="F12" s="821" t="s">
        <v>852</v>
      </c>
      <c r="G12" s="399"/>
      <c r="H12" s="399"/>
      <c r="I12" s="399"/>
      <c r="J12" s="576" t="s">
        <v>853</v>
      </c>
      <c r="K12" s="402">
        <v>0</v>
      </c>
      <c r="L12" s="402">
        <v>0</v>
      </c>
      <c r="M12" s="402">
        <v>0</v>
      </c>
      <c r="N12" s="402">
        <f t="shared" si="1"/>
        <v>0</v>
      </c>
      <c r="O12" s="402"/>
      <c r="P12" s="402">
        <v>0</v>
      </c>
      <c r="Q12" s="402"/>
      <c r="R12" s="402"/>
      <c r="S12" s="402"/>
      <c r="T12" s="402">
        <v>7002217710</v>
      </c>
      <c r="U12" s="897">
        <v>0</v>
      </c>
      <c r="V12" s="403"/>
      <c r="W12" s="403"/>
      <c r="X12" s="403"/>
      <c r="Y12" s="571" t="s">
        <v>838</v>
      </c>
    </row>
    <row r="13" spans="1:25" ht="22.5" customHeight="1" thickTop="1" thickBot="1">
      <c r="A13" s="399" t="s">
        <v>835</v>
      </c>
      <c r="B13" s="399" t="s">
        <v>839</v>
      </c>
      <c r="C13" s="399" t="s">
        <v>839</v>
      </c>
      <c r="D13" s="399" t="s">
        <v>839</v>
      </c>
      <c r="E13" s="399" t="s">
        <v>839</v>
      </c>
      <c r="F13" s="821" t="s">
        <v>854</v>
      </c>
      <c r="G13" s="399"/>
      <c r="H13" s="399"/>
      <c r="I13" s="399"/>
      <c r="J13" s="576" t="s">
        <v>855</v>
      </c>
      <c r="K13" s="402">
        <v>10148239507.790001</v>
      </c>
      <c r="L13" s="402"/>
      <c r="M13" s="402"/>
      <c r="N13" s="402">
        <f t="shared" si="1"/>
        <v>10148239507.790001</v>
      </c>
      <c r="O13" s="402"/>
      <c r="P13" s="402">
        <v>10148239508</v>
      </c>
      <c r="Q13" s="402"/>
      <c r="R13" s="402"/>
      <c r="S13" s="402"/>
      <c r="T13" s="402">
        <v>7475922350</v>
      </c>
      <c r="U13" s="896">
        <f>+T13/N13*100</f>
        <v>73.667184778811389</v>
      </c>
      <c r="V13" s="403"/>
      <c r="W13" s="403"/>
      <c r="X13" s="403"/>
      <c r="Y13" s="571"/>
    </row>
    <row r="14" spans="1:25" s="137" customFormat="1" ht="22.5" customHeight="1" thickTop="1" thickBot="1">
      <c r="A14" s="399" t="s">
        <v>835</v>
      </c>
      <c r="B14" s="399" t="s">
        <v>839</v>
      </c>
      <c r="C14" s="399" t="s">
        <v>839</v>
      </c>
      <c r="D14" s="399" t="s">
        <v>839</v>
      </c>
      <c r="E14" s="399" t="s">
        <v>839</v>
      </c>
      <c r="F14" s="821" t="s">
        <v>856</v>
      </c>
      <c r="G14" s="399"/>
      <c r="H14" s="399"/>
      <c r="I14" s="399"/>
      <c r="J14" s="576" t="s">
        <v>857</v>
      </c>
      <c r="K14" s="402">
        <v>2094404710</v>
      </c>
      <c r="L14" s="402">
        <v>0</v>
      </c>
      <c r="M14" s="402">
        <v>0</v>
      </c>
      <c r="N14" s="402">
        <f t="shared" si="1"/>
        <v>2094404710</v>
      </c>
      <c r="O14" s="402"/>
      <c r="P14" s="402">
        <v>2094404710</v>
      </c>
      <c r="Q14" s="402"/>
      <c r="R14" s="402"/>
      <c r="S14" s="402"/>
      <c r="T14" s="402">
        <v>934069892.48000002</v>
      </c>
      <c r="U14" s="897"/>
      <c r="V14" s="403"/>
      <c r="W14" s="403"/>
      <c r="X14" s="403"/>
      <c r="Y14" s="571"/>
    </row>
    <row r="15" spans="1:25" ht="22.5" customHeight="1" thickTop="1" thickBot="1">
      <c r="A15" s="821" t="s">
        <v>835</v>
      </c>
      <c r="B15" s="821" t="s">
        <v>839</v>
      </c>
      <c r="C15" s="821" t="s">
        <v>839</v>
      </c>
      <c r="D15" s="821" t="s">
        <v>839</v>
      </c>
      <c r="E15" s="821" t="s">
        <v>852</v>
      </c>
      <c r="F15" s="399"/>
      <c r="G15" s="399"/>
      <c r="I15" s="399"/>
      <c r="J15" s="575" t="s">
        <v>858</v>
      </c>
      <c r="K15" s="404">
        <f>+K16+K17</f>
        <v>0</v>
      </c>
      <c r="L15" s="404">
        <f>+L16+L17</f>
        <v>0</v>
      </c>
      <c r="M15" s="404">
        <f>+M16+M17</f>
        <v>0</v>
      </c>
      <c r="N15" s="404">
        <f t="shared" si="1"/>
        <v>0</v>
      </c>
      <c r="O15" s="404">
        <f t="shared" ref="O15:T15" si="5">+O16+O17</f>
        <v>0</v>
      </c>
      <c r="P15" s="404">
        <f t="shared" si="5"/>
        <v>0</v>
      </c>
      <c r="Q15" s="404">
        <f t="shared" si="5"/>
        <v>0</v>
      </c>
      <c r="R15" s="404">
        <f t="shared" si="5"/>
        <v>0</v>
      </c>
      <c r="S15" s="404">
        <f t="shared" si="5"/>
        <v>0</v>
      </c>
      <c r="T15" s="404">
        <f t="shared" si="5"/>
        <v>0</v>
      </c>
      <c r="U15" s="898">
        <v>0</v>
      </c>
      <c r="V15" s="401"/>
      <c r="W15" s="401" t="s">
        <v>859</v>
      </c>
      <c r="X15" s="401" t="s">
        <v>860</v>
      </c>
      <c r="Y15" s="571" t="s">
        <v>838</v>
      </c>
    </row>
    <row r="16" spans="1:25" ht="22.5" customHeight="1" thickTop="1" thickBot="1">
      <c r="A16" s="399" t="s">
        <v>835</v>
      </c>
      <c r="B16" s="399" t="s">
        <v>839</v>
      </c>
      <c r="C16" s="399" t="s">
        <v>839</v>
      </c>
      <c r="D16" s="399" t="s">
        <v>839</v>
      </c>
      <c r="E16" s="399" t="s">
        <v>852</v>
      </c>
      <c r="F16" s="821" t="s">
        <v>839</v>
      </c>
      <c r="G16" s="399"/>
      <c r="H16" s="399"/>
      <c r="I16" s="399"/>
      <c r="J16" s="576" t="s">
        <v>861</v>
      </c>
      <c r="K16" s="405"/>
      <c r="L16" s="405"/>
      <c r="M16" s="405"/>
      <c r="N16" s="402">
        <f t="shared" si="1"/>
        <v>0</v>
      </c>
      <c r="O16" s="405"/>
      <c r="P16" s="405"/>
      <c r="Q16" s="405"/>
      <c r="R16" s="405"/>
      <c r="S16" s="402"/>
      <c r="T16" s="405"/>
      <c r="U16" s="899">
        <v>0</v>
      </c>
      <c r="V16" s="403"/>
      <c r="W16" s="403"/>
      <c r="X16" s="403"/>
      <c r="Y16" s="571" t="s">
        <v>838</v>
      </c>
    </row>
    <row r="17" spans="1:25" ht="22.5" customHeight="1" thickTop="1" thickBot="1">
      <c r="A17" s="399" t="s">
        <v>835</v>
      </c>
      <c r="B17" s="399" t="s">
        <v>839</v>
      </c>
      <c r="C17" s="399" t="s">
        <v>839</v>
      </c>
      <c r="D17" s="399" t="s">
        <v>839</v>
      </c>
      <c r="E17" s="399" t="s">
        <v>852</v>
      </c>
      <c r="F17" s="821" t="s">
        <v>852</v>
      </c>
      <c r="G17" s="399"/>
      <c r="H17" s="399"/>
      <c r="I17" s="399"/>
      <c r="J17" s="576" t="s">
        <v>862</v>
      </c>
      <c r="K17" s="405"/>
      <c r="L17" s="405"/>
      <c r="M17" s="405"/>
      <c r="N17" s="402">
        <f t="shared" si="1"/>
        <v>0</v>
      </c>
      <c r="O17" s="405"/>
      <c r="P17" s="405"/>
      <c r="Q17" s="405"/>
      <c r="R17" s="405"/>
      <c r="S17" s="402"/>
      <c r="T17" s="405"/>
      <c r="U17" s="899">
        <v>0</v>
      </c>
      <c r="V17" s="403"/>
      <c r="W17" s="403"/>
      <c r="X17" s="403"/>
      <c r="Y17" s="571" t="s">
        <v>838</v>
      </c>
    </row>
    <row r="18" spans="1:25" ht="22.5" customHeight="1" thickTop="1" thickBot="1">
      <c r="A18" s="394" t="s">
        <v>835</v>
      </c>
      <c r="B18" s="391" t="s">
        <v>839</v>
      </c>
      <c r="C18" s="391" t="s">
        <v>852</v>
      </c>
      <c r="D18" s="391"/>
      <c r="E18" s="391"/>
      <c r="F18" s="392"/>
      <c r="G18" s="392"/>
      <c r="H18" s="392"/>
      <c r="I18" s="392"/>
      <c r="J18" s="573" t="s">
        <v>863</v>
      </c>
      <c r="K18" s="393">
        <f>+K19+K34+K77+K85+K111</f>
        <v>30400021522.98</v>
      </c>
      <c r="L18" s="393">
        <f>+L19+L34+L77+L85+L111</f>
        <v>222000000</v>
      </c>
      <c r="M18" s="393">
        <f>+M19+M34+M77+M85+M111</f>
        <v>0</v>
      </c>
      <c r="N18" s="393">
        <f t="shared" si="1"/>
        <v>30622021522.98</v>
      </c>
      <c r="O18" s="393">
        <f t="shared" ref="O18:S18" si="6">+O19+O34+O77+O85+O111</f>
        <v>10218561336.68</v>
      </c>
      <c r="P18" s="393">
        <f t="shared" si="6"/>
        <v>12402128351.77</v>
      </c>
      <c r="Q18" s="393">
        <f t="shared" si="6"/>
        <v>4130384037.4099998</v>
      </c>
      <c r="R18" s="393">
        <f t="shared" si="6"/>
        <v>3870947797</v>
      </c>
      <c r="S18" s="393">
        <f t="shared" si="6"/>
        <v>0</v>
      </c>
      <c r="T18" s="393">
        <f>+T19+T34+T77+T85+T111</f>
        <v>28793720438.629997</v>
      </c>
      <c r="U18" s="893">
        <f>+T18/N18*100</f>
        <v>94.029456602079748</v>
      </c>
      <c r="V18" s="394"/>
      <c r="W18" s="394" t="s">
        <v>864</v>
      </c>
      <c r="X18" s="394" t="s">
        <v>865</v>
      </c>
      <c r="Y18" s="571" t="s">
        <v>838</v>
      </c>
    </row>
    <row r="19" spans="1:25" ht="22.5" customHeight="1" thickTop="1" thickBot="1">
      <c r="A19" s="398" t="s">
        <v>835</v>
      </c>
      <c r="B19" s="395" t="s">
        <v>839</v>
      </c>
      <c r="C19" s="395" t="s">
        <v>852</v>
      </c>
      <c r="D19" s="395" t="s">
        <v>839</v>
      </c>
      <c r="E19" s="395"/>
      <c r="F19" s="396"/>
      <c r="G19" s="396"/>
      <c r="H19" s="396"/>
      <c r="I19" s="396"/>
      <c r="J19" s="574" t="s">
        <v>866</v>
      </c>
      <c r="K19" s="397">
        <f t="shared" ref="K19:M20" si="7">+K20</f>
        <v>12967838738.24</v>
      </c>
      <c r="L19" s="397">
        <f t="shared" si="7"/>
        <v>0</v>
      </c>
      <c r="M19" s="397">
        <f t="shared" si="7"/>
        <v>0</v>
      </c>
      <c r="N19" s="397">
        <f t="shared" si="1"/>
        <v>12967838738.24</v>
      </c>
      <c r="O19" s="397">
        <f t="shared" ref="O19:T20" si="8">+O20</f>
        <v>1296783873.8239999</v>
      </c>
      <c r="P19" s="397">
        <f t="shared" si="8"/>
        <v>9077487116.7679996</v>
      </c>
      <c r="Q19" s="397">
        <f t="shared" si="8"/>
        <v>2593567747.6479998</v>
      </c>
      <c r="R19" s="397">
        <f t="shared" si="8"/>
        <v>0</v>
      </c>
      <c r="S19" s="397">
        <f>+S20</f>
        <v>0</v>
      </c>
      <c r="T19" s="397">
        <f>+T20</f>
        <v>15841896923.639999</v>
      </c>
      <c r="U19" s="894">
        <f>+T19/N19*100</f>
        <v>122.16296981643427</v>
      </c>
      <c r="V19" s="395"/>
      <c r="W19" s="398" t="s">
        <v>867</v>
      </c>
      <c r="X19" s="398" t="s">
        <v>868</v>
      </c>
      <c r="Y19" s="571" t="s">
        <v>838</v>
      </c>
    </row>
    <row r="20" spans="1:25" ht="22.5" customHeight="1" thickTop="1" thickBot="1">
      <c r="A20" s="401" t="s">
        <v>835</v>
      </c>
      <c r="B20" s="401" t="s">
        <v>839</v>
      </c>
      <c r="C20" s="821" t="s">
        <v>852</v>
      </c>
      <c r="D20" s="401" t="s">
        <v>839</v>
      </c>
      <c r="E20" s="821" t="s">
        <v>839</v>
      </c>
      <c r="F20" s="399"/>
      <c r="G20" s="399"/>
      <c r="H20" s="399"/>
      <c r="I20" s="399"/>
      <c r="J20" s="575" t="s">
        <v>869</v>
      </c>
      <c r="K20" s="400">
        <f t="shared" si="7"/>
        <v>12967838738.24</v>
      </c>
      <c r="L20" s="400">
        <f t="shared" si="7"/>
        <v>0</v>
      </c>
      <c r="M20" s="400">
        <f t="shared" si="7"/>
        <v>0</v>
      </c>
      <c r="N20" s="400">
        <f t="shared" si="1"/>
        <v>12967838738.24</v>
      </c>
      <c r="O20" s="400">
        <f t="shared" si="8"/>
        <v>1296783873.8239999</v>
      </c>
      <c r="P20" s="400">
        <f t="shared" si="8"/>
        <v>9077487116.7679996</v>
      </c>
      <c r="Q20" s="400">
        <f t="shared" si="8"/>
        <v>2593567747.6479998</v>
      </c>
      <c r="R20" s="400">
        <f t="shared" si="8"/>
        <v>0</v>
      </c>
      <c r="S20" s="400">
        <f>+S21</f>
        <v>0</v>
      </c>
      <c r="T20" s="400">
        <f t="shared" si="8"/>
        <v>15841896923.639999</v>
      </c>
      <c r="U20" s="895">
        <f>+T20/N20*100</f>
        <v>122.16296981643427</v>
      </c>
      <c r="V20" s="403"/>
      <c r="W20" s="403" t="s">
        <v>870</v>
      </c>
      <c r="X20" s="403" t="s">
        <v>838</v>
      </c>
      <c r="Y20" s="571" t="s">
        <v>838</v>
      </c>
    </row>
    <row r="21" spans="1:25" ht="22.5" customHeight="1" thickTop="1" thickBot="1">
      <c r="A21" s="403" t="s">
        <v>835</v>
      </c>
      <c r="B21" s="403" t="s">
        <v>839</v>
      </c>
      <c r="C21" s="399" t="s">
        <v>852</v>
      </c>
      <c r="D21" s="403" t="s">
        <v>839</v>
      </c>
      <c r="E21" s="403" t="s">
        <v>839</v>
      </c>
      <c r="F21" s="821" t="s">
        <v>839</v>
      </c>
      <c r="G21" s="399"/>
      <c r="H21" s="399"/>
      <c r="I21" s="399"/>
      <c r="J21" s="575" t="s">
        <v>871</v>
      </c>
      <c r="K21" s="400">
        <f t="shared" ref="K21:T21" si="9">+K22+K25+K28+K31</f>
        <v>12967838738.24</v>
      </c>
      <c r="L21" s="400">
        <f>+L22+L25+L28+L31</f>
        <v>0</v>
      </c>
      <c r="M21" s="400">
        <f>+M22+M25+M28+M31</f>
        <v>0</v>
      </c>
      <c r="N21" s="400">
        <f t="shared" si="1"/>
        <v>12967838738.24</v>
      </c>
      <c r="O21" s="400">
        <f t="shared" si="9"/>
        <v>1296783873.8239999</v>
      </c>
      <c r="P21" s="400">
        <f t="shared" si="9"/>
        <v>9077487116.7679996</v>
      </c>
      <c r="Q21" s="400">
        <f t="shared" si="9"/>
        <v>2593567747.6479998</v>
      </c>
      <c r="R21" s="400">
        <f t="shared" si="9"/>
        <v>0</v>
      </c>
      <c r="S21" s="400">
        <f t="shared" si="9"/>
        <v>0</v>
      </c>
      <c r="T21" s="400">
        <f t="shared" si="9"/>
        <v>15841896923.639999</v>
      </c>
      <c r="U21" s="895">
        <f>+T21/N21*100</f>
        <v>122.16296981643427</v>
      </c>
      <c r="V21" s="403"/>
      <c r="W21" s="403" t="s">
        <v>872</v>
      </c>
      <c r="X21" s="403" t="s">
        <v>873</v>
      </c>
      <c r="Y21" s="571" t="s">
        <v>838</v>
      </c>
    </row>
    <row r="22" spans="1:25" ht="22.5" customHeight="1" thickTop="1" thickBot="1">
      <c r="A22" s="403" t="s">
        <v>835</v>
      </c>
      <c r="B22" s="403" t="s">
        <v>839</v>
      </c>
      <c r="C22" s="399" t="s">
        <v>852</v>
      </c>
      <c r="D22" s="403" t="s">
        <v>839</v>
      </c>
      <c r="E22" s="403" t="s">
        <v>839</v>
      </c>
      <c r="F22" s="403" t="s">
        <v>839</v>
      </c>
      <c r="G22" s="821" t="s">
        <v>839</v>
      </c>
      <c r="H22" s="399"/>
      <c r="I22" s="399"/>
      <c r="J22" s="575" t="s">
        <v>874</v>
      </c>
      <c r="K22" s="400">
        <f t="shared" ref="K22:T22" si="10">SUM(K23:K24)</f>
        <v>0</v>
      </c>
      <c r="L22" s="400">
        <f>SUM(L23:L24)</f>
        <v>0</v>
      </c>
      <c r="M22" s="400">
        <f>SUM(M23:M24)</f>
        <v>0</v>
      </c>
      <c r="N22" s="400">
        <f t="shared" si="1"/>
        <v>0</v>
      </c>
      <c r="O22" s="400">
        <f t="shared" si="10"/>
        <v>0</v>
      </c>
      <c r="P22" s="400">
        <f t="shared" si="10"/>
        <v>0</v>
      </c>
      <c r="Q22" s="400">
        <f t="shared" si="10"/>
        <v>0</v>
      </c>
      <c r="R22" s="400">
        <f t="shared" si="10"/>
        <v>0</v>
      </c>
      <c r="S22" s="400">
        <f>SUM(S23:S24)</f>
        <v>0</v>
      </c>
      <c r="T22" s="400">
        <f t="shared" si="10"/>
        <v>0</v>
      </c>
      <c r="U22" s="900">
        <v>0</v>
      </c>
      <c r="V22" s="403"/>
      <c r="W22" s="403"/>
      <c r="X22" s="403"/>
      <c r="Y22" s="571" t="s">
        <v>838</v>
      </c>
    </row>
    <row r="23" spans="1:25" ht="22.5" customHeight="1" thickTop="1" thickBot="1">
      <c r="A23" s="403" t="s">
        <v>835</v>
      </c>
      <c r="B23" s="403" t="s">
        <v>839</v>
      </c>
      <c r="C23" s="399" t="s">
        <v>852</v>
      </c>
      <c r="D23" s="403" t="s">
        <v>839</v>
      </c>
      <c r="E23" s="403" t="s">
        <v>839</v>
      </c>
      <c r="F23" s="403" t="s">
        <v>839</v>
      </c>
      <c r="G23" s="403" t="s">
        <v>839</v>
      </c>
      <c r="H23" s="403" t="s">
        <v>839</v>
      </c>
      <c r="I23" s="399"/>
      <c r="J23" s="576" t="s">
        <v>875</v>
      </c>
      <c r="K23" s="402"/>
      <c r="L23" s="402"/>
      <c r="M23" s="402"/>
      <c r="N23" s="402">
        <f t="shared" si="1"/>
        <v>0</v>
      </c>
      <c r="O23" s="402"/>
      <c r="P23" s="402"/>
      <c r="Q23" s="402"/>
      <c r="R23" s="402"/>
      <c r="S23" s="402"/>
      <c r="T23" s="402"/>
      <c r="U23" s="897">
        <v>0</v>
      </c>
      <c r="V23" s="403"/>
      <c r="W23" s="403"/>
      <c r="X23" s="403"/>
      <c r="Y23" s="571" t="s">
        <v>838</v>
      </c>
    </row>
    <row r="24" spans="1:25" ht="22.5" customHeight="1" thickTop="1" thickBot="1">
      <c r="A24" s="403" t="s">
        <v>835</v>
      </c>
      <c r="B24" s="403" t="s">
        <v>839</v>
      </c>
      <c r="C24" s="399" t="s">
        <v>852</v>
      </c>
      <c r="D24" s="403" t="s">
        <v>839</v>
      </c>
      <c r="E24" s="403" t="s">
        <v>839</v>
      </c>
      <c r="F24" s="403" t="s">
        <v>839</v>
      </c>
      <c r="G24" s="403" t="s">
        <v>839</v>
      </c>
      <c r="H24" s="399" t="s">
        <v>852</v>
      </c>
      <c r="I24" s="399"/>
      <c r="J24" s="576" t="s">
        <v>876</v>
      </c>
      <c r="K24" s="402"/>
      <c r="L24" s="402"/>
      <c r="M24" s="402"/>
      <c r="N24" s="402">
        <f t="shared" si="1"/>
        <v>0</v>
      </c>
      <c r="O24" s="402"/>
      <c r="P24" s="402"/>
      <c r="Q24" s="402"/>
      <c r="R24" s="402"/>
      <c r="S24" s="402"/>
      <c r="T24" s="402"/>
      <c r="U24" s="897">
        <v>0</v>
      </c>
      <c r="V24" s="403"/>
      <c r="W24" s="403"/>
      <c r="X24" s="403"/>
      <c r="Y24" s="571" t="s">
        <v>838</v>
      </c>
    </row>
    <row r="25" spans="1:25" ht="22.5" customHeight="1" thickTop="1" thickBot="1">
      <c r="A25" s="403" t="s">
        <v>835</v>
      </c>
      <c r="B25" s="403" t="s">
        <v>839</v>
      </c>
      <c r="C25" s="399" t="s">
        <v>852</v>
      </c>
      <c r="D25" s="403" t="s">
        <v>839</v>
      </c>
      <c r="E25" s="403" t="s">
        <v>839</v>
      </c>
      <c r="F25" s="403" t="s">
        <v>839</v>
      </c>
      <c r="G25" s="821" t="s">
        <v>852</v>
      </c>
      <c r="H25" s="399"/>
      <c r="I25" s="399"/>
      <c r="J25" s="575" t="s">
        <v>877</v>
      </c>
      <c r="K25" s="400">
        <f t="shared" ref="K25:S25" si="11">SUM(K26:K27)</f>
        <v>12967838738.24</v>
      </c>
      <c r="L25" s="400">
        <f>SUM(L26:L27)</f>
        <v>0</v>
      </c>
      <c r="M25" s="400">
        <f>SUM(M26:M27)</f>
        <v>0</v>
      </c>
      <c r="N25" s="400">
        <f t="shared" si="1"/>
        <v>12967838738.24</v>
      </c>
      <c r="O25" s="400">
        <f t="shared" si="11"/>
        <v>1296783873.8239999</v>
      </c>
      <c r="P25" s="400">
        <f t="shared" si="11"/>
        <v>9077487116.7679996</v>
      </c>
      <c r="Q25" s="400">
        <f t="shared" si="11"/>
        <v>2593567747.6479998</v>
      </c>
      <c r="R25" s="400">
        <f t="shared" si="11"/>
        <v>0</v>
      </c>
      <c r="S25" s="400">
        <f t="shared" si="11"/>
        <v>0</v>
      </c>
      <c r="T25" s="400">
        <f>+T26+T27</f>
        <v>15841896923.639999</v>
      </c>
      <c r="U25" s="895">
        <f>+T25/N25*100</f>
        <v>122.16296981643427</v>
      </c>
      <c r="V25" s="403"/>
      <c r="W25" s="403"/>
      <c r="X25" s="403"/>
      <c r="Y25" s="571" t="s">
        <v>838</v>
      </c>
    </row>
    <row r="26" spans="1:25" ht="22.5" customHeight="1" thickTop="1" thickBot="1">
      <c r="A26" s="403" t="s">
        <v>835</v>
      </c>
      <c r="B26" s="403" t="s">
        <v>839</v>
      </c>
      <c r="C26" s="399" t="s">
        <v>852</v>
      </c>
      <c r="D26" s="403" t="s">
        <v>839</v>
      </c>
      <c r="E26" s="403" t="s">
        <v>839</v>
      </c>
      <c r="F26" s="403" t="s">
        <v>839</v>
      </c>
      <c r="G26" s="399" t="s">
        <v>852</v>
      </c>
      <c r="H26" s="399" t="s">
        <v>839</v>
      </c>
      <c r="I26" s="399"/>
      <c r="J26" s="576" t="s">
        <v>878</v>
      </c>
      <c r="K26" s="402">
        <v>11746102657.24</v>
      </c>
      <c r="L26" s="402"/>
      <c r="M26" s="402"/>
      <c r="N26" s="402">
        <f t="shared" si="1"/>
        <v>11746102657.24</v>
      </c>
      <c r="O26" s="402">
        <f>+N26*0.1</f>
        <v>1174610265.724</v>
      </c>
      <c r="P26" s="402">
        <f>+N26*0.7</f>
        <v>8222271860.0679989</v>
      </c>
      <c r="Q26" s="402">
        <f>+N26*0.2</f>
        <v>2349220531.448</v>
      </c>
      <c r="R26" s="402"/>
      <c r="S26" s="402"/>
      <c r="T26" s="402">
        <v>14550801581</v>
      </c>
      <c r="U26" s="896">
        <f>+T26/N26*100</f>
        <v>123.8776980382617</v>
      </c>
      <c r="V26" s="403"/>
      <c r="W26" s="403"/>
      <c r="X26" s="403"/>
      <c r="Y26" s="571" t="s">
        <v>838</v>
      </c>
    </row>
    <row r="27" spans="1:25" ht="22.5" customHeight="1" thickTop="1" thickBot="1">
      <c r="A27" s="403" t="s">
        <v>835</v>
      </c>
      <c r="B27" s="403" t="s">
        <v>839</v>
      </c>
      <c r="C27" s="399" t="s">
        <v>852</v>
      </c>
      <c r="D27" s="403" t="s">
        <v>839</v>
      </c>
      <c r="E27" s="403" t="s">
        <v>839</v>
      </c>
      <c r="F27" s="403" t="s">
        <v>839</v>
      </c>
      <c r="G27" s="399" t="s">
        <v>852</v>
      </c>
      <c r="H27" s="399" t="s">
        <v>852</v>
      </c>
      <c r="I27" s="399"/>
      <c r="J27" s="576" t="s">
        <v>879</v>
      </c>
      <c r="K27" s="402">
        <v>1221736081</v>
      </c>
      <c r="L27" s="402"/>
      <c r="M27" s="402"/>
      <c r="N27" s="402">
        <f t="shared" si="1"/>
        <v>1221736081</v>
      </c>
      <c r="O27" s="402">
        <f>+N27*0.1</f>
        <v>122173608.10000001</v>
      </c>
      <c r="P27" s="402">
        <f>+N27*0.7</f>
        <v>855215256.69999993</v>
      </c>
      <c r="Q27" s="402">
        <f>+N27*0.2</f>
        <v>244347216.20000002</v>
      </c>
      <c r="R27" s="402"/>
      <c r="S27" s="402"/>
      <c r="T27" s="402">
        <v>1291095342.6400001</v>
      </c>
      <c r="U27" s="896">
        <f>+T27/N27*100</f>
        <v>105.67710675968816</v>
      </c>
      <c r="V27" s="403"/>
      <c r="W27" s="403"/>
      <c r="X27" s="403"/>
      <c r="Y27" s="571" t="s">
        <v>838</v>
      </c>
    </row>
    <row r="28" spans="1:25" ht="22.5" customHeight="1" thickTop="1" thickBot="1">
      <c r="A28" s="403" t="s">
        <v>835</v>
      </c>
      <c r="B28" s="403" t="s">
        <v>839</v>
      </c>
      <c r="C28" s="399" t="s">
        <v>852</v>
      </c>
      <c r="D28" s="403" t="s">
        <v>839</v>
      </c>
      <c r="E28" s="403" t="s">
        <v>839</v>
      </c>
      <c r="F28" s="403" t="s">
        <v>839</v>
      </c>
      <c r="G28" s="821" t="s">
        <v>854</v>
      </c>
      <c r="H28" s="399"/>
      <c r="I28" s="399"/>
      <c r="J28" s="575" t="s">
        <v>880</v>
      </c>
      <c r="K28" s="400">
        <f t="shared" ref="K28:T28" si="12">SUM(K29:K30)</f>
        <v>0</v>
      </c>
      <c r="L28" s="400">
        <f>SUM(L29:L30)</f>
        <v>0</v>
      </c>
      <c r="M28" s="400">
        <f>SUM(M29:M30)</f>
        <v>0</v>
      </c>
      <c r="N28" s="400">
        <f t="shared" si="1"/>
        <v>0</v>
      </c>
      <c r="O28" s="400">
        <f t="shared" si="12"/>
        <v>0</v>
      </c>
      <c r="P28" s="400">
        <f t="shared" si="12"/>
        <v>0</v>
      </c>
      <c r="Q28" s="400">
        <f t="shared" si="12"/>
        <v>0</v>
      </c>
      <c r="R28" s="400">
        <f t="shared" si="12"/>
        <v>0</v>
      </c>
      <c r="S28" s="400">
        <f t="shared" si="12"/>
        <v>0</v>
      </c>
      <c r="T28" s="400">
        <f t="shared" si="12"/>
        <v>0</v>
      </c>
      <c r="U28" s="900">
        <v>0</v>
      </c>
      <c r="V28" s="403"/>
      <c r="W28" s="403"/>
      <c r="X28" s="403"/>
      <c r="Y28" s="571" t="s">
        <v>838</v>
      </c>
    </row>
    <row r="29" spans="1:25" ht="22.5" customHeight="1" thickTop="1" thickBot="1">
      <c r="A29" s="403" t="s">
        <v>835</v>
      </c>
      <c r="B29" s="403" t="s">
        <v>839</v>
      </c>
      <c r="C29" s="399" t="s">
        <v>852</v>
      </c>
      <c r="D29" s="403" t="s">
        <v>839</v>
      </c>
      <c r="E29" s="403" t="s">
        <v>839</v>
      </c>
      <c r="F29" s="403" t="s">
        <v>839</v>
      </c>
      <c r="G29" s="399" t="s">
        <v>854</v>
      </c>
      <c r="H29" s="399" t="s">
        <v>839</v>
      </c>
      <c r="I29" s="399"/>
      <c r="J29" s="576" t="s">
        <v>881</v>
      </c>
      <c r="K29" s="402"/>
      <c r="L29" s="402"/>
      <c r="M29" s="402"/>
      <c r="N29" s="402">
        <f t="shared" si="1"/>
        <v>0</v>
      </c>
      <c r="O29" s="402"/>
      <c r="P29" s="402"/>
      <c r="Q29" s="402"/>
      <c r="R29" s="402"/>
      <c r="S29" s="402"/>
      <c r="T29" s="402"/>
      <c r="U29" s="897">
        <v>0</v>
      </c>
      <c r="V29" s="403"/>
      <c r="W29" s="403"/>
      <c r="X29" s="403"/>
      <c r="Y29" s="571" t="s">
        <v>838</v>
      </c>
    </row>
    <row r="30" spans="1:25" ht="22.5" customHeight="1" thickTop="1" thickBot="1">
      <c r="A30" s="403" t="s">
        <v>835</v>
      </c>
      <c r="B30" s="403" t="s">
        <v>839</v>
      </c>
      <c r="C30" s="399" t="s">
        <v>852</v>
      </c>
      <c r="D30" s="403" t="s">
        <v>839</v>
      </c>
      <c r="E30" s="403" t="s">
        <v>839</v>
      </c>
      <c r="F30" s="403" t="s">
        <v>839</v>
      </c>
      <c r="G30" s="399" t="s">
        <v>854</v>
      </c>
      <c r="H30" s="399" t="s">
        <v>852</v>
      </c>
      <c r="I30" s="399"/>
      <c r="J30" s="576" t="s">
        <v>882</v>
      </c>
      <c r="K30" s="402"/>
      <c r="L30" s="402"/>
      <c r="M30" s="402"/>
      <c r="N30" s="402">
        <f t="shared" si="1"/>
        <v>0</v>
      </c>
      <c r="O30" s="402"/>
      <c r="P30" s="402"/>
      <c r="Q30" s="402"/>
      <c r="R30" s="402"/>
      <c r="S30" s="402"/>
      <c r="T30" s="402"/>
      <c r="U30" s="897">
        <v>0</v>
      </c>
      <c r="V30" s="403"/>
      <c r="W30" s="403"/>
      <c r="X30" s="403"/>
      <c r="Y30" s="571" t="s">
        <v>838</v>
      </c>
    </row>
    <row r="31" spans="1:25" ht="22.5" customHeight="1" thickTop="1" thickBot="1">
      <c r="A31" s="403" t="s">
        <v>835</v>
      </c>
      <c r="B31" s="403" t="s">
        <v>839</v>
      </c>
      <c r="C31" s="399" t="s">
        <v>852</v>
      </c>
      <c r="D31" s="403" t="s">
        <v>839</v>
      </c>
      <c r="E31" s="403" t="s">
        <v>839</v>
      </c>
      <c r="F31" s="403" t="s">
        <v>839</v>
      </c>
      <c r="G31" s="821" t="s">
        <v>856</v>
      </c>
      <c r="H31" s="399"/>
      <c r="I31" s="399"/>
      <c r="J31" s="575" t="s">
        <v>883</v>
      </c>
      <c r="K31" s="404">
        <f t="shared" ref="K31:T31" si="13">SUM(K32:K33)</f>
        <v>0</v>
      </c>
      <c r="L31" s="404">
        <f>SUM(L32:L33)</f>
        <v>0</v>
      </c>
      <c r="M31" s="404">
        <f>SUM(M32:M33)</f>
        <v>0</v>
      </c>
      <c r="N31" s="404">
        <f t="shared" si="1"/>
        <v>0</v>
      </c>
      <c r="O31" s="404">
        <f t="shared" si="13"/>
        <v>0</v>
      </c>
      <c r="P31" s="404">
        <f t="shared" si="13"/>
        <v>0</v>
      </c>
      <c r="Q31" s="404">
        <f t="shared" si="13"/>
        <v>0</v>
      </c>
      <c r="R31" s="404">
        <f t="shared" si="13"/>
        <v>0</v>
      </c>
      <c r="S31" s="404">
        <f t="shared" si="13"/>
        <v>0</v>
      </c>
      <c r="T31" s="404">
        <f t="shared" si="13"/>
        <v>0</v>
      </c>
      <c r="U31" s="898">
        <v>0</v>
      </c>
      <c r="V31" s="403"/>
      <c r="W31" s="403"/>
      <c r="X31" s="403"/>
      <c r="Y31" s="571" t="s">
        <v>838</v>
      </c>
    </row>
    <row r="32" spans="1:25" ht="22.5" customHeight="1" thickTop="1" thickBot="1">
      <c r="A32" s="403" t="s">
        <v>835</v>
      </c>
      <c r="B32" s="403" t="s">
        <v>839</v>
      </c>
      <c r="C32" s="399" t="s">
        <v>852</v>
      </c>
      <c r="D32" s="403" t="s">
        <v>839</v>
      </c>
      <c r="E32" s="403" t="s">
        <v>839</v>
      </c>
      <c r="F32" s="403" t="s">
        <v>839</v>
      </c>
      <c r="G32" s="399" t="s">
        <v>856</v>
      </c>
      <c r="H32" s="399" t="s">
        <v>839</v>
      </c>
      <c r="I32" s="399"/>
      <c r="J32" s="576" t="s">
        <v>884</v>
      </c>
      <c r="K32" s="405"/>
      <c r="L32" s="405"/>
      <c r="M32" s="405"/>
      <c r="N32" s="402">
        <f t="shared" si="1"/>
        <v>0</v>
      </c>
      <c r="O32" s="405"/>
      <c r="P32" s="405"/>
      <c r="Q32" s="405"/>
      <c r="R32" s="405"/>
      <c r="S32" s="402"/>
      <c r="T32" s="405"/>
      <c r="U32" s="899">
        <v>0</v>
      </c>
      <c r="V32" s="403"/>
      <c r="W32" s="403"/>
      <c r="X32" s="403"/>
      <c r="Y32" s="571" t="s">
        <v>838</v>
      </c>
    </row>
    <row r="33" spans="1:25" ht="22.5" customHeight="1" thickTop="1" thickBot="1">
      <c r="A33" s="403" t="s">
        <v>835</v>
      </c>
      <c r="B33" s="403" t="s">
        <v>839</v>
      </c>
      <c r="C33" s="399" t="s">
        <v>852</v>
      </c>
      <c r="D33" s="403" t="s">
        <v>839</v>
      </c>
      <c r="E33" s="403" t="s">
        <v>839</v>
      </c>
      <c r="F33" s="403" t="s">
        <v>839</v>
      </c>
      <c r="G33" s="399" t="s">
        <v>856</v>
      </c>
      <c r="H33" s="399" t="s">
        <v>852</v>
      </c>
      <c r="I33" s="399"/>
      <c r="J33" s="576" t="s">
        <v>885</v>
      </c>
      <c r="K33" s="405"/>
      <c r="L33" s="405"/>
      <c r="M33" s="405"/>
      <c r="N33" s="402">
        <f t="shared" si="1"/>
        <v>0</v>
      </c>
      <c r="O33" s="405"/>
      <c r="P33" s="405"/>
      <c r="Q33" s="405"/>
      <c r="R33" s="405"/>
      <c r="S33" s="402"/>
      <c r="T33" s="405"/>
      <c r="U33" s="899">
        <v>0</v>
      </c>
      <c r="V33" s="403"/>
      <c r="W33" s="403"/>
      <c r="X33" s="403"/>
      <c r="Y33" s="571" t="s">
        <v>838</v>
      </c>
    </row>
    <row r="34" spans="1:25" ht="22.5" customHeight="1" thickTop="1" thickBot="1">
      <c r="A34" s="398" t="s">
        <v>835</v>
      </c>
      <c r="B34" s="395" t="s">
        <v>839</v>
      </c>
      <c r="C34" s="395" t="s">
        <v>852</v>
      </c>
      <c r="D34" s="395" t="s">
        <v>852</v>
      </c>
      <c r="E34" s="395"/>
      <c r="F34" s="396"/>
      <c r="G34" s="396"/>
      <c r="H34" s="396"/>
      <c r="I34" s="396"/>
      <c r="J34" s="574" t="s">
        <v>886</v>
      </c>
      <c r="K34" s="397">
        <f>+K35+K52</f>
        <v>15051884099.719999</v>
      </c>
      <c r="L34" s="397">
        <f>+L35+L52</f>
        <v>0</v>
      </c>
      <c r="M34" s="397">
        <f>+M35+M52</f>
        <v>0</v>
      </c>
      <c r="N34" s="397">
        <f t="shared" si="1"/>
        <v>15051884099.719999</v>
      </c>
      <c r="O34" s="397">
        <f t="shared" ref="O34:R34" si="14">+O35+O52</f>
        <v>6359925104.8380013</v>
      </c>
      <c r="P34" s="397">
        <f t="shared" si="14"/>
        <v>3324641235.0019999</v>
      </c>
      <c r="Q34" s="397">
        <f t="shared" si="14"/>
        <v>1496369962.7600002</v>
      </c>
      <c r="R34" s="397">
        <f t="shared" si="14"/>
        <v>3870947797</v>
      </c>
      <c r="S34" s="397">
        <f>+S35+S52</f>
        <v>0</v>
      </c>
      <c r="T34" s="397">
        <f>+T35+T52</f>
        <v>10473912870.99</v>
      </c>
      <c r="U34" s="894">
        <f>+T34/N34*100</f>
        <v>69.585394104814029</v>
      </c>
      <c r="V34" s="395"/>
      <c r="W34" s="398"/>
      <c r="X34" s="398"/>
      <c r="Y34" s="571" t="s">
        <v>838</v>
      </c>
    </row>
    <row r="35" spans="1:25" s="137" customFormat="1" ht="22.5" customHeight="1" thickTop="1" thickBot="1">
      <c r="A35" s="398">
        <v>1</v>
      </c>
      <c r="B35" s="395" t="s">
        <v>839</v>
      </c>
      <c r="C35" s="395" t="s">
        <v>852</v>
      </c>
      <c r="D35" s="395" t="s">
        <v>852</v>
      </c>
      <c r="E35" s="395" t="s">
        <v>839</v>
      </c>
      <c r="F35" s="396"/>
      <c r="G35" s="396"/>
      <c r="H35" s="396"/>
      <c r="I35" s="396"/>
      <c r="J35" s="574" t="s">
        <v>887</v>
      </c>
      <c r="K35" s="397">
        <f>+K36</f>
        <v>7985300649.8999996</v>
      </c>
      <c r="L35" s="397">
        <f>+L36</f>
        <v>0</v>
      </c>
      <c r="M35" s="397">
        <f>+M36</f>
        <v>0</v>
      </c>
      <c r="N35" s="397">
        <f t="shared" si="1"/>
        <v>7985300649.8999996</v>
      </c>
      <c r="O35" s="397">
        <f t="shared" ref="O35:T35" si="15">+O36</f>
        <v>0</v>
      </c>
      <c r="P35" s="397">
        <f t="shared" si="15"/>
        <v>3324641235.0019999</v>
      </c>
      <c r="Q35" s="397">
        <f t="shared" si="15"/>
        <v>789711617.778</v>
      </c>
      <c r="R35" s="397">
        <f t="shared" si="15"/>
        <v>3870947797</v>
      </c>
      <c r="S35" s="397">
        <f>+S36</f>
        <v>0</v>
      </c>
      <c r="T35" s="397">
        <f t="shared" si="15"/>
        <v>7115059427</v>
      </c>
      <c r="U35" s="894">
        <f>+T35/N35*100</f>
        <v>89.101960451408956</v>
      </c>
      <c r="V35" s="395"/>
      <c r="W35" s="398"/>
      <c r="X35" s="398"/>
      <c r="Y35" s="571"/>
    </row>
    <row r="36" spans="1:25" ht="22.5" customHeight="1" thickTop="1" thickBot="1">
      <c r="A36" s="401" t="s">
        <v>835</v>
      </c>
      <c r="B36" s="401" t="s">
        <v>839</v>
      </c>
      <c r="C36" s="821" t="s">
        <v>852</v>
      </c>
      <c r="D36" s="821" t="s">
        <v>852</v>
      </c>
      <c r="E36" s="821" t="s">
        <v>839</v>
      </c>
      <c r="F36" s="821" t="s">
        <v>839</v>
      </c>
      <c r="G36" s="821"/>
      <c r="H36" s="399"/>
      <c r="I36" s="399"/>
      <c r="J36" s="575" t="s">
        <v>888</v>
      </c>
      <c r="K36" s="400">
        <f>+K37+K40+K43+K46+K49</f>
        <v>7985300649.8999996</v>
      </c>
      <c r="L36" s="400">
        <f>+L37+L40+L43+L46+L49</f>
        <v>0</v>
      </c>
      <c r="M36" s="400">
        <f>+M37+M40+M43+M46+M49</f>
        <v>0</v>
      </c>
      <c r="N36" s="400">
        <f t="shared" si="1"/>
        <v>7985300649.8999996</v>
      </c>
      <c r="O36" s="400">
        <f t="shared" ref="O36:T36" si="16">+O37+O40+O43+O46+O49</f>
        <v>0</v>
      </c>
      <c r="P36" s="400">
        <f t="shared" si="16"/>
        <v>3324641235.0019999</v>
      </c>
      <c r="Q36" s="400">
        <f t="shared" si="16"/>
        <v>789711617.778</v>
      </c>
      <c r="R36" s="400">
        <f t="shared" si="16"/>
        <v>3870947797</v>
      </c>
      <c r="S36" s="400">
        <f>+S37+S40+S43+S46+S49</f>
        <v>0</v>
      </c>
      <c r="T36" s="400">
        <f t="shared" si="16"/>
        <v>7115059427</v>
      </c>
      <c r="U36" s="895">
        <f>+T36/N36*100</f>
        <v>89.101960451408956</v>
      </c>
      <c r="V36" s="401"/>
      <c r="W36" s="401"/>
      <c r="X36" s="401"/>
      <c r="Y36" s="571" t="s">
        <v>838</v>
      </c>
    </row>
    <row r="37" spans="1:25" ht="22.5" customHeight="1" thickTop="1" thickBot="1">
      <c r="A37" s="403" t="s">
        <v>835</v>
      </c>
      <c r="B37" s="403" t="s">
        <v>839</v>
      </c>
      <c r="C37" s="399" t="s">
        <v>852</v>
      </c>
      <c r="D37" s="399" t="s">
        <v>852</v>
      </c>
      <c r="E37" s="403" t="s">
        <v>839</v>
      </c>
      <c r="F37" s="399" t="s">
        <v>839</v>
      </c>
      <c r="G37" s="821" t="s">
        <v>839</v>
      </c>
      <c r="H37" s="399"/>
      <c r="I37" s="399"/>
      <c r="J37" s="575" t="s">
        <v>889</v>
      </c>
      <c r="K37" s="402">
        <f>+K38+K39</f>
        <v>7184676938</v>
      </c>
      <c r="L37" s="402">
        <f>+L38+L39</f>
        <v>0</v>
      </c>
      <c r="M37" s="402">
        <f>+M38+M39</f>
        <v>0</v>
      </c>
      <c r="N37" s="402">
        <f t="shared" si="1"/>
        <v>7184676938</v>
      </c>
      <c r="O37" s="402">
        <f t="shared" ref="O37:T37" si="17">+O38+O39</f>
        <v>0</v>
      </c>
      <c r="P37" s="402">
        <f t="shared" si="17"/>
        <v>2595261447.1999998</v>
      </c>
      <c r="Q37" s="402">
        <f t="shared" si="17"/>
        <v>718467693.79999995</v>
      </c>
      <c r="R37" s="402">
        <f t="shared" si="17"/>
        <v>3870947797</v>
      </c>
      <c r="S37" s="402">
        <f t="shared" si="17"/>
        <v>0</v>
      </c>
      <c r="T37" s="402">
        <f t="shared" si="17"/>
        <v>6206958250</v>
      </c>
      <c r="U37" s="896">
        <f>+T37/N37*100</f>
        <v>86.391612365633137</v>
      </c>
      <c r="V37" s="403"/>
      <c r="W37" s="403" t="s">
        <v>890</v>
      </c>
      <c r="X37" s="403" t="s">
        <v>891</v>
      </c>
      <c r="Y37" s="577" t="s">
        <v>838</v>
      </c>
    </row>
    <row r="38" spans="1:25" ht="22.5" customHeight="1" thickTop="1" thickBot="1">
      <c r="A38" s="403" t="s">
        <v>835</v>
      </c>
      <c r="B38" s="403" t="s">
        <v>839</v>
      </c>
      <c r="C38" s="399" t="s">
        <v>852</v>
      </c>
      <c r="D38" s="399" t="s">
        <v>852</v>
      </c>
      <c r="E38" s="403" t="s">
        <v>839</v>
      </c>
      <c r="F38" s="403" t="s">
        <v>839</v>
      </c>
      <c r="G38" s="399" t="s">
        <v>839</v>
      </c>
      <c r="H38" s="399" t="s">
        <v>839</v>
      </c>
      <c r="I38" s="399"/>
      <c r="J38" s="576" t="s">
        <v>892</v>
      </c>
      <c r="K38" s="402">
        <v>7132316820</v>
      </c>
      <c r="L38" s="402"/>
      <c r="M38" s="402"/>
      <c r="N38" s="402">
        <f t="shared" si="1"/>
        <v>7132316820</v>
      </c>
      <c r="O38" s="402"/>
      <c r="P38" s="402">
        <f>+N38-R38-Q38</f>
        <v>2548137341</v>
      </c>
      <c r="Q38" s="402">
        <f>+N38*0.1</f>
        <v>713231682</v>
      </c>
      <c r="R38" s="402">
        <v>3870947797</v>
      </c>
      <c r="S38" s="402"/>
      <c r="T38" s="402">
        <v>6206208578</v>
      </c>
      <c r="U38" s="896">
        <f t="shared" ref="U38:U44" si="18">+T38/N38*100</f>
        <v>87.015323836946436</v>
      </c>
      <c r="V38" s="403"/>
      <c r="W38" s="403"/>
      <c r="X38" s="403"/>
      <c r="Y38" s="577" t="s">
        <v>838</v>
      </c>
    </row>
    <row r="39" spans="1:25" ht="22.5" customHeight="1" thickTop="1" thickBot="1">
      <c r="A39" s="403" t="s">
        <v>835</v>
      </c>
      <c r="B39" s="403" t="s">
        <v>839</v>
      </c>
      <c r="C39" s="399" t="s">
        <v>852</v>
      </c>
      <c r="D39" s="399" t="s">
        <v>852</v>
      </c>
      <c r="E39" s="403" t="s">
        <v>839</v>
      </c>
      <c r="F39" s="403" t="s">
        <v>839</v>
      </c>
      <c r="G39" s="399" t="s">
        <v>839</v>
      </c>
      <c r="H39" s="399" t="s">
        <v>852</v>
      </c>
      <c r="I39" s="399"/>
      <c r="J39" s="576" t="s">
        <v>893</v>
      </c>
      <c r="K39" s="402">
        <v>52360118</v>
      </c>
      <c r="L39" s="402"/>
      <c r="M39" s="402"/>
      <c r="N39" s="402">
        <f t="shared" si="1"/>
        <v>52360118</v>
      </c>
      <c r="O39" s="402"/>
      <c r="P39" s="402">
        <f>+N39*0.9</f>
        <v>47124106.200000003</v>
      </c>
      <c r="Q39" s="402">
        <f>+N39*0.1</f>
        <v>5236011.8000000007</v>
      </c>
      <c r="R39" s="402"/>
      <c r="S39" s="402"/>
      <c r="T39" s="402">
        <v>749672</v>
      </c>
      <c r="U39" s="896">
        <f t="shared" si="18"/>
        <v>1.4317614792235571</v>
      </c>
      <c r="V39" s="403"/>
      <c r="W39" s="403"/>
      <c r="X39" s="403"/>
      <c r="Y39" s="577" t="s">
        <v>838</v>
      </c>
    </row>
    <row r="40" spans="1:25" ht="22.5" customHeight="1" thickTop="1" thickBot="1">
      <c r="A40" s="403" t="s">
        <v>835</v>
      </c>
      <c r="B40" s="403" t="s">
        <v>839</v>
      </c>
      <c r="C40" s="399" t="s">
        <v>852</v>
      </c>
      <c r="D40" s="399" t="s">
        <v>852</v>
      </c>
      <c r="E40" s="403" t="s">
        <v>839</v>
      </c>
      <c r="F40" s="403" t="s">
        <v>839</v>
      </c>
      <c r="G40" s="821" t="s">
        <v>852</v>
      </c>
      <c r="H40" s="399"/>
      <c r="I40" s="399"/>
      <c r="J40" s="575" t="s">
        <v>894</v>
      </c>
      <c r="K40" s="402">
        <f>+K41+K42</f>
        <v>712439239.77999997</v>
      </c>
      <c r="L40" s="402">
        <f>+L41+L42</f>
        <v>0</v>
      </c>
      <c r="M40" s="402">
        <f>+M41+M42</f>
        <v>0</v>
      </c>
      <c r="N40" s="402">
        <f t="shared" si="1"/>
        <v>712439239.77999997</v>
      </c>
      <c r="O40" s="402">
        <f t="shared" ref="O40:T40" si="19">+O41+O42</f>
        <v>0</v>
      </c>
      <c r="P40" s="402">
        <f t="shared" si="19"/>
        <v>641195315.80200005</v>
      </c>
      <c r="Q40" s="402">
        <f t="shared" si="19"/>
        <v>71243923.978</v>
      </c>
      <c r="R40" s="402">
        <f t="shared" si="19"/>
        <v>0</v>
      </c>
      <c r="S40" s="402">
        <f t="shared" si="19"/>
        <v>0</v>
      </c>
      <c r="T40" s="402">
        <f t="shared" si="19"/>
        <v>524020549</v>
      </c>
      <c r="U40" s="896">
        <f t="shared" si="18"/>
        <v>73.553016136760903</v>
      </c>
      <c r="V40" s="403"/>
      <c r="W40" s="403" t="s">
        <v>895</v>
      </c>
      <c r="X40" s="403" t="s">
        <v>896</v>
      </c>
      <c r="Y40" s="577" t="s">
        <v>838</v>
      </c>
    </row>
    <row r="41" spans="1:25" ht="22.5" customHeight="1" thickTop="1" thickBot="1">
      <c r="A41" s="403" t="s">
        <v>835</v>
      </c>
      <c r="B41" s="403" t="s">
        <v>839</v>
      </c>
      <c r="C41" s="399" t="s">
        <v>852</v>
      </c>
      <c r="D41" s="399" t="s">
        <v>852</v>
      </c>
      <c r="E41" s="403" t="s">
        <v>839</v>
      </c>
      <c r="F41" s="403" t="s">
        <v>839</v>
      </c>
      <c r="G41" s="399" t="s">
        <v>852</v>
      </c>
      <c r="H41" s="399" t="s">
        <v>839</v>
      </c>
      <c r="I41" s="399"/>
      <c r="J41" s="576" t="s">
        <v>897</v>
      </c>
      <c r="K41" s="402">
        <v>660079122.51999998</v>
      </c>
      <c r="L41" s="402"/>
      <c r="M41" s="402"/>
      <c r="N41" s="402">
        <f t="shared" si="1"/>
        <v>660079122.51999998</v>
      </c>
      <c r="O41" s="402"/>
      <c r="P41" s="402">
        <f>+N41*0.9</f>
        <v>594071210.26800001</v>
      </c>
      <c r="Q41" s="402">
        <f>+N41*0.1</f>
        <v>66007912.252000004</v>
      </c>
      <c r="R41" s="402"/>
      <c r="S41" s="402"/>
      <c r="T41" s="402">
        <v>522979285</v>
      </c>
      <c r="U41" s="896">
        <f t="shared" si="18"/>
        <v>79.229787332677532</v>
      </c>
      <c r="V41" s="403"/>
      <c r="W41" s="403"/>
      <c r="X41" s="403"/>
      <c r="Y41" s="577" t="s">
        <v>838</v>
      </c>
    </row>
    <row r="42" spans="1:25" ht="22.5" customHeight="1" thickTop="1" thickBot="1">
      <c r="A42" s="403" t="s">
        <v>835</v>
      </c>
      <c r="B42" s="403" t="s">
        <v>839</v>
      </c>
      <c r="C42" s="399" t="s">
        <v>852</v>
      </c>
      <c r="D42" s="399" t="s">
        <v>852</v>
      </c>
      <c r="E42" s="403" t="s">
        <v>839</v>
      </c>
      <c r="F42" s="403" t="s">
        <v>839</v>
      </c>
      <c r="G42" s="399" t="s">
        <v>852</v>
      </c>
      <c r="H42" s="399" t="s">
        <v>852</v>
      </c>
      <c r="I42" s="399"/>
      <c r="J42" s="576" t="s">
        <v>898</v>
      </c>
      <c r="K42" s="402">
        <v>52360117.259999998</v>
      </c>
      <c r="L42" s="402"/>
      <c r="M42" s="402"/>
      <c r="N42" s="402">
        <f t="shared" si="1"/>
        <v>52360117.259999998</v>
      </c>
      <c r="O42" s="402"/>
      <c r="P42" s="402">
        <f>+N42*0.9</f>
        <v>47124105.534000002</v>
      </c>
      <c r="Q42" s="402">
        <f>+N42*0.1</f>
        <v>5236011.7259999998</v>
      </c>
      <c r="R42" s="402"/>
      <c r="S42" s="402"/>
      <c r="T42" s="402">
        <v>1041264</v>
      </c>
      <c r="U42" s="896">
        <f t="shared" si="18"/>
        <v>1.9886586480115918</v>
      </c>
      <c r="V42" s="403"/>
      <c r="W42" s="403"/>
      <c r="X42" s="403"/>
      <c r="Y42" s="577" t="s">
        <v>838</v>
      </c>
    </row>
    <row r="43" spans="1:25" ht="22.5" customHeight="1" thickTop="1" thickBot="1">
      <c r="A43" s="403" t="s">
        <v>835</v>
      </c>
      <c r="B43" s="403" t="s">
        <v>839</v>
      </c>
      <c r="C43" s="399" t="s">
        <v>852</v>
      </c>
      <c r="D43" s="399" t="s">
        <v>852</v>
      </c>
      <c r="E43" s="403" t="s">
        <v>839</v>
      </c>
      <c r="F43" s="403" t="s">
        <v>839</v>
      </c>
      <c r="G43" s="821" t="s">
        <v>854</v>
      </c>
      <c r="H43" s="399"/>
      <c r="I43" s="399"/>
      <c r="J43" s="575" t="s">
        <v>899</v>
      </c>
      <c r="K43" s="402">
        <f>+K44+K45</f>
        <v>88184472.120000005</v>
      </c>
      <c r="L43" s="402">
        <f>+L44+L45</f>
        <v>0</v>
      </c>
      <c r="M43" s="402">
        <f>+M44+M45</f>
        <v>0</v>
      </c>
      <c r="N43" s="402">
        <f t="shared" si="1"/>
        <v>88184472.120000005</v>
      </c>
      <c r="O43" s="402">
        <f t="shared" ref="O43:T43" si="20">+O44+O45</f>
        <v>0</v>
      </c>
      <c r="P43" s="402">
        <f t="shared" si="20"/>
        <v>88184472</v>
      </c>
      <c r="Q43" s="402">
        <f t="shared" si="20"/>
        <v>0</v>
      </c>
      <c r="R43" s="402">
        <f t="shared" si="20"/>
        <v>0</v>
      </c>
      <c r="S43" s="402">
        <f t="shared" si="20"/>
        <v>0</v>
      </c>
      <c r="T43" s="402">
        <f t="shared" si="20"/>
        <v>384080628</v>
      </c>
      <c r="U43" s="896">
        <f t="shared" si="18"/>
        <v>435.54224317105314</v>
      </c>
      <c r="V43" s="403"/>
      <c r="W43" s="403"/>
      <c r="X43" s="403"/>
      <c r="Y43" s="577" t="s">
        <v>838</v>
      </c>
    </row>
    <row r="44" spans="1:25" ht="22.5" customHeight="1" thickTop="1" thickBot="1">
      <c r="A44" s="403" t="s">
        <v>835</v>
      </c>
      <c r="B44" s="403" t="s">
        <v>839</v>
      </c>
      <c r="C44" s="399" t="s">
        <v>852</v>
      </c>
      <c r="D44" s="399" t="s">
        <v>852</v>
      </c>
      <c r="E44" s="403" t="s">
        <v>839</v>
      </c>
      <c r="F44" s="403" t="s">
        <v>839</v>
      </c>
      <c r="G44" s="399" t="s">
        <v>854</v>
      </c>
      <c r="H44" s="399" t="s">
        <v>839</v>
      </c>
      <c r="I44" s="399"/>
      <c r="J44" s="576" t="s">
        <v>900</v>
      </c>
      <c r="K44" s="402">
        <v>88184472.120000005</v>
      </c>
      <c r="L44" s="402"/>
      <c r="M44" s="402"/>
      <c r="N44" s="402">
        <f t="shared" si="1"/>
        <v>88184472.120000005</v>
      </c>
      <c r="O44" s="402"/>
      <c r="P44" s="402">
        <v>88184472</v>
      </c>
      <c r="Q44" s="402"/>
      <c r="R44" s="402"/>
      <c r="S44" s="402"/>
      <c r="T44" s="402">
        <v>384080628</v>
      </c>
      <c r="U44" s="896">
        <f t="shared" si="18"/>
        <v>435.54224317105314</v>
      </c>
      <c r="V44" s="403"/>
      <c r="W44" s="403"/>
      <c r="X44" s="403"/>
      <c r="Y44" s="577" t="s">
        <v>838</v>
      </c>
    </row>
    <row r="45" spans="1:25" ht="22.5" customHeight="1" thickTop="1" thickBot="1">
      <c r="A45" s="403" t="s">
        <v>835</v>
      </c>
      <c r="B45" s="403" t="s">
        <v>839</v>
      </c>
      <c r="C45" s="399" t="s">
        <v>852</v>
      </c>
      <c r="D45" s="399" t="s">
        <v>852</v>
      </c>
      <c r="E45" s="403" t="s">
        <v>839</v>
      </c>
      <c r="F45" s="403" t="s">
        <v>839</v>
      </c>
      <c r="G45" s="399" t="s">
        <v>854</v>
      </c>
      <c r="H45" s="399" t="s">
        <v>852</v>
      </c>
      <c r="I45" s="399"/>
      <c r="J45" s="576" t="s">
        <v>901</v>
      </c>
      <c r="K45" s="402"/>
      <c r="L45" s="402"/>
      <c r="M45" s="402"/>
      <c r="N45" s="402">
        <f t="shared" si="1"/>
        <v>0</v>
      </c>
      <c r="O45" s="402"/>
      <c r="P45" s="402"/>
      <c r="Q45" s="402"/>
      <c r="R45" s="402"/>
      <c r="S45" s="402"/>
      <c r="T45" s="402"/>
      <c r="U45" s="897">
        <v>0</v>
      </c>
      <c r="V45" s="403"/>
      <c r="W45" s="403"/>
      <c r="X45" s="403"/>
      <c r="Y45" s="577" t="s">
        <v>838</v>
      </c>
    </row>
    <row r="46" spans="1:25" ht="22.5" customHeight="1" thickTop="1" thickBot="1">
      <c r="A46" s="403" t="s">
        <v>835</v>
      </c>
      <c r="B46" s="403" t="s">
        <v>839</v>
      </c>
      <c r="C46" s="399" t="s">
        <v>852</v>
      </c>
      <c r="D46" s="399" t="s">
        <v>852</v>
      </c>
      <c r="E46" s="403" t="s">
        <v>839</v>
      </c>
      <c r="F46" s="403" t="s">
        <v>839</v>
      </c>
      <c r="G46" s="821" t="s">
        <v>856</v>
      </c>
      <c r="H46" s="399"/>
      <c r="I46" s="399"/>
      <c r="J46" s="575" t="s">
        <v>902</v>
      </c>
      <c r="K46" s="402">
        <f>+K47+K48</f>
        <v>0</v>
      </c>
      <c r="L46" s="402">
        <f>+L47+L48</f>
        <v>0</v>
      </c>
      <c r="M46" s="402">
        <f>+M47+M48</f>
        <v>0</v>
      </c>
      <c r="N46" s="402">
        <f t="shared" si="1"/>
        <v>0</v>
      </c>
      <c r="O46" s="402">
        <f t="shared" ref="O46:T46" si="21">+O47+O48</f>
        <v>0</v>
      </c>
      <c r="P46" s="402">
        <f t="shared" si="21"/>
        <v>0</v>
      </c>
      <c r="Q46" s="402">
        <f t="shared" si="21"/>
        <v>0</v>
      </c>
      <c r="R46" s="402">
        <f t="shared" si="21"/>
        <v>0</v>
      </c>
      <c r="S46" s="402">
        <f t="shared" si="21"/>
        <v>0</v>
      </c>
      <c r="T46" s="402">
        <f t="shared" si="21"/>
        <v>0</v>
      </c>
      <c r="U46" s="897">
        <v>0</v>
      </c>
      <c r="V46" s="403"/>
      <c r="W46" s="403" t="s">
        <v>903</v>
      </c>
      <c r="X46" s="403" t="s">
        <v>904</v>
      </c>
      <c r="Y46" s="577" t="s">
        <v>838</v>
      </c>
    </row>
    <row r="47" spans="1:25" ht="22.5" customHeight="1" thickTop="1" thickBot="1">
      <c r="A47" s="403" t="s">
        <v>835</v>
      </c>
      <c r="B47" s="403" t="s">
        <v>839</v>
      </c>
      <c r="C47" s="399" t="s">
        <v>852</v>
      </c>
      <c r="D47" s="399" t="s">
        <v>852</v>
      </c>
      <c r="E47" s="403" t="s">
        <v>839</v>
      </c>
      <c r="F47" s="403" t="s">
        <v>839</v>
      </c>
      <c r="G47" s="399" t="s">
        <v>856</v>
      </c>
      <c r="H47" s="399" t="s">
        <v>839</v>
      </c>
      <c r="I47" s="399"/>
      <c r="J47" s="576" t="s">
        <v>905</v>
      </c>
      <c r="K47" s="402"/>
      <c r="L47" s="402"/>
      <c r="M47" s="402"/>
      <c r="N47" s="402">
        <f t="shared" si="1"/>
        <v>0</v>
      </c>
      <c r="O47" s="402"/>
      <c r="P47" s="402"/>
      <c r="Q47" s="402"/>
      <c r="R47" s="402"/>
      <c r="S47" s="402"/>
      <c r="T47" s="402"/>
      <c r="U47" s="897">
        <v>0</v>
      </c>
      <c r="V47" s="403"/>
      <c r="W47" s="403"/>
      <c r="X47" s="403"/>
      <c r="Y47" s="577" t="s">
        <v>838</v>
      </c>
    </row>
    <row r="48" spans="1:25" ht="22.5" customHeight="1" thickTop="1" thickBot="1">
      <c r="A48" s="403" t="s">
        <v>835</v>
      </c>
      <c r="B48" s="403" t="s">
        <v>839</v>
      </c>
      <c r="C48" s="399" t="s">
        <v>852</v>
      </c>
      <c r="D48" s="399" t="s">
        <v>852</v>
      </c>
      <c r="E48" s="403" t="s">
        <v>839</v>
      </c>
      <c r="F48" s="403" t="s">
        <v>839</v>
      </c>
      <c r="G48" s="399" t="s">
        <v>856</v>
      </c>
      <c r="H48" s="399" t="s">
        <v>852</v>
      </c>
      <c r="I48" s="399"/>
      <c r="J48" s="576" t="s">
        <v>906</v>
      </c>
      <c r="K48" s="402"/>
      <c r="L48" s="402"/>
      <c r="M48" s="402"/>
      <c r="N48" s="402">
        <f t="shared" si="1"/>
        <v>0</v>
      </c>
      <c r="O48" s="402"/>
      <c r="P48" s="402"/>
      <c r="Q48" s="402"/>
      <c r="R48" s="402"/>
      <c r="S48" s="402"/>
      <c r="T48" s="402"/>
      <c r="U48" s="897">
        <v>0</v>
      </c>
      <c r="V48" s="403"/>
      <c r="W48" s="403"/>
      <c r="X48" s="403"/>
      <c r="Y48" s="577" t="s">
        <v>838</v>
      </c>
    </row>
    <row r="49" spans="1:25" ht="22.5" customHeight="1" thickTop="1" thickBot="1">
      <c r="A49" s="403" t="s">
        <v>835</v>
      </c>
      <c r="B49" s="403" t="s">
        <v>839</v>
      </c>
      <c r="C49" s="399" t="s">
        <v>852</v>
      </c>
      <c r="D49" s="399" t="s">
        <v>852</v>
      </c>
      <c r="E49" s="403" t="s">
        <v>839</v>
      </c>
      <c r="F49" s="403" t="s">
        <v>839</v>
      </c>
      <c r="G49" s="821" t="s">
        <v>907</v>
      </c>
      <c r="H49" s="399"/>
      <c r="I49" s="399"/>
      <c r="J49" s="575" t="s">
        <v>908</v>
      </c>
      <c r="K49" s="405">
        <f>+K50+K51</f>
        <v>0</v>
      </c>
      <c r="L49" s="405">
        <f>+L50+L51</f>
        <v>0</v>
      </c>
      <c r="M49" s="405">
        <f>+M50+M51</f>
        <v>0</v>
      </c>
      <c r="N49" s="405">
        <f t="shared" si="1"/>
        <v>0</v>
      </c>
      <c r="O49" s="405">
        <f t="shared" ref="O49:T49" si="22">+O50+O51</f>
        <v>0</v>
      </c>
      <c r="P49" s="405">
        <f t="shared" si="22"/>
        <v>0</v>
      </c>
      <c r="Q49" s="405">
        <f t="shared" si="22"/>
        <v>0</v>
      </c>
      <c r="R49" s="405">
        <f t="shared" si="22"/>
        <v>0</v>
      </c>
      <c r="S49" s="405">
        <f t="shared" si="22"/>
        <v>0</v>
      </c>
      <c r="T49" s="405">
        <f t="shared" si="22"/>
        <v>0</v>
      </c>
      <c r="U49" s="899">
        <v>0</v>
      </c>
      <c r="V49" s="403"/>
      <c r="W49" s="403"/>
      <c r="X49" s="403"/>
      <c r="Y49" s="577" t="s">
        <v>838</v>
      </c>
    </row>
    <row r="50" spans="1:25" ht="22.5" customHeight="1" thickTop="1" thickBot="1">
      <c r="A50" s="403" t="s">
        <v>835</v>
      </c>
      <c r="B50" s="403" t="s">
        <v>839</v>
      </c>
      <c r="C50" s="399" t="s">
        <v>852</v>
      </c>
      <c r="D50" s="399" t="s">
        <v>852</v>
      </c>
      <c r="E50" s="403" t="s">
        <v>839</v>
      </c>
      <c r="F50" s="403" t="s">
        <v>839</v>
      </c>
      <c r="G50" s="399" t="s">
        <v>907</v>
      </c>
      <c r="H50" s="399" t="s">
        <v>839</v>
      </c>
      <c r="I50" s="399"/>
      <c r="J50" s="576" t="s">
        <v>909</v>
      </c>
      <c r="K50" s="405"/>
      <c r="L50" s="405"/>
      <c r="M50" s="405"/>
      <c r="N50" s="405">
        <f t="shared" si="1"/>
        <v>0</v>
      </c>
      <c r="O50" s="405"/>
      <c r="P50" s="405"/>
      <c r="Q50" s="405"/>
      <c r="R50" s="405"/>
      <c r="S50" s="405"/>
      <c r="T50" s="405"/>
      <c r="U50" s="899">
        <v>0</v>
      </c>
      <c r="V50" s="403"/>
      <c r="W50" s="403"/>
      <c r="X50" s="403"/>
      <c r="Y50" s="577" t="s">
        <v>838</v>
      </c>
    </row>
    <row r="51" spans="1:25" ht="22.5" customHeight="1" thickTop="1" thickBot="1">
      <c r="A51" s="403" t="s">
        <v>835</v>
      </c>
      <c r="B51" s="403" t="s">
        <v>839</v>
      </c>
      <c r="C51" s="399" t="s">
        <v>852</v>
      </c>
      <c r="D51" s="399" t="s">
        <v>852</v>
      </c>
      <c r="E51" s="403" t="s">
        <v>839</v>
      </c>
      <c r="F51" s="403" t="s">
        <v>839</v>
      </c>
      <c r="G51" s="399" t="s">
        <v>907</v>
      </c>
      <c r="H51" s="399" t="s">
        <v>852</v>
      </c>
      <c r="I51" s="399"/>
      <c r="J51" s="576" t="s">
        <v>910</v>
      </c>
      <c r="K51" s="405"/>
      <c r="L51" s="405"/>
      <c r="M51" s="405"/>
      <c r="N51" s="405">
        <f t="shared" si="1"/>
        <v>0</v>
      </c>
      <c r="O51" s="405"/>
      <c r="P51" s="405"/>
      <c r="Q51" s="405"/>
      <c r="R51" s="405"/>
      <c r="S51" s="405"/>
      <c r="T51" s="405"/>
      <c r="U51" s="899">
        <v>0</v>
      </c>
      <c r="V51" s="403"/>
      <c r="W51" s="403"/>
      <c r="X51" s="403"/>
      <c r="Y51" s="577" t="s">
        <v>838</v>
      </c>
    </row>
    <row r="52" spans="1:25" ht="22.5" customHeight="1" thickTop="1" thickBot="1">
      <c r="A52" s="398">
        <v>1</v>
      </c>
      <c r="B52" s="395" t="s">
        <v>839</v>
      </c>
      <c r="C52" s="395" t="s">
        <v>852</v>
      </c>
      <c r="D52" s="395" t="s">
        <v>852</v>
      </c>
      <c r="E52" s="395" t="s">
        <v>852</v>
      </c>
      <c r="F52" s="396"/>
      <c r="G52" s="396"/>
      <c r="H52" s="396"/>
      <c r="I52" s="396"/>
      <c r="J52" s="574" t="s">
        <v>911</v>
      </c>
      <c r="K52" s="406">
        <f>+K53+K56+K59+K62+K65+K68+K71+K74</f>
        <v>7066583449.8199997</v>
      </c>
      <c r="L52" s="406">
        <f>+L53+L56+L59+L62+L65+L68+L71+L74</f>
        <v>0</v>
      </c>
      <c r="M52" s="406">
        <f>+M53+M56+M59+M62+M65+M68+M71+M74</f>
        <v>0</v>
      </c>
      <c r="N52" s="406">
        <f t="shared" si="1"/>
        <v>7066583449.8199997</v>
      </c>
      <c r="O52" s="406">
        <f t="shared" ref="O52:T52" si="23">+O53+O56+O59+O62+O65+O68+O71+O74</f>
        <v>6359925104.8380013</v>
      </c>
      <c r="P52" s="406">
        <f t="shared" si="23"/>
        <v>0</v>
      </c>
      <c r="Q52" s="406">
        <f t="shared" si="23"/>
        <v>706658344.98200011</v>
      </c>
      <c r="R52" s="406">
        <f t="shared" si="23"/>
        <v>0</v>
      </c>
      <c r="S52" s="406">
        <f>+S53+S56+S59+S62+S65+S68+S71+S74</f>
        <v>0</v>
      </c>
      <c r="T52" s="406">
        <f t="shared" si="23"/>
        <v>3358853443.9899998</v>
      </c>
      <c r="U52" s="894">
        <f>+T52/N52*100</f>
        <v>47.531504691642134</v>
      </c>
      <c r="V52" s="395"/>
      <c r="W52" s="398" t="s">
        <v>912</v>
      </c>
      <c r="X52" s="398" t="s">
        <v>913</v>
      </c>
      <c r="Y52" s="571" t="s">
        <v>838</v>
      </c>
    </row>
    <row r="53" spans="1:25" ht="22.5" customHeight="1" thickTop="1" thickBot="1">
      <c r="A53" s="403">
        <v>1</v>
      </c>
      <c r="B53" s="403" t="s">
        <v>839</v>
      </c>
      <c r="C53" s="399" t="s">
        <v>852</v>
      </c>
      <c r="D53" s="399" t="s">
        <v>852</v>
      </c>
      <c r="E53" s="403" t="s">
        <v>852</v>
      </c>
      <c r="F53" s="821" t="s">
        <v>839</v>
      </c>
      <c r="G53" s="399"/>
      <c r="H53" s="399"/>
      <c r="I53" s="399"/>
      <c r="J53" s="575" t="s">
        <v>914</v>
      </c>
      <c r="K53" s="407">
        <f>+K54+K55</f>
        <v>7042448814.5200005</v>
      </c>
      <c r="L53" s="407">
        <f>+L54+L55</f>
        <v>0</v>
      </c>
      <c r="M53" s="407">
        <f>+M54+M55</f>
        <v>0</v>
      </c>
      <c r="N53" s="407">
        <f t="shared" si="1"/>
        <v>7042448814.5200005</v>
      </c>
      <c r="O53" s="407">
        <f t="shared" ref="O53:T53" si="24">+O54+O55</f>
        <v>6338203933.0680008</v>
      </c>
      <c r="P53" s="407">
        <f t="shared" si="24"/>
        <v>0</v>
      </c>
      <c r="Q53" s="407">
        <f t="shared" si="24"/>
        <v>704244881.45200014</v>
      </c>
      <c r="R53" s="407">
        <f t="shared" si="24"/>
        <v>0</v>
      </c>
      <c r="S53" s="407">
        <f t="shared" si="24"/>
        <v>0</v>
      </c>
      <c r="T53" s="407">
        <f t="shared" si="24"/>
        <v>3337638321</v>
      </c>
      <c r="U53" s="901">
        <f>+T53/N53*100</f>
        <v>47.393149867394342</v>
      </c>
      <c r="V53" s="821"/>
      <c r="W53" s="403" t="s">
        <v>915</v>
      </c>
      <c r="X53" s="403"/>
      <c r="Y53" s="571" t="s">
        <v>838</v>
      </c>
    </row>
    <row r="54" spans="1:25" ht="22.5" customHeight="1" thickTop="1" thickBot="1">
      <c r="A54" s="403">
        <v>1</v>
      </c>
      <c r="B54" s="403" t="s">
        <v>839</v>
      </c>
      <c r="C54" s="399" t="s">
        <v>852</v>
      </c>
      <c r="D54" s="399" t="s">
        <v>852</v>
      </c>
      <c r="E54" s="403" t="s">
        <v>852</v>
      </c>
      <c r="F54" s="399" t="s">
        <v>839</v>
      </c>
      <c r="G54" s="821" t="s">
        <v>839</v>
      </c>
      <c r="H54" s="399"/>
      <c r="I54" s="399"/>
      <c r="J54" s="576" t="s">
        <v>916</v>
      </c>
      <c r="K54" s="408">
        <v>6972635324.5200005</v>
      </c>
      <c r="L54" s="408"/>
      <c r="M54" s="408"/>
      <c r="N54" s="408">
        <f t="shared" si="1"/>
        <v>6972635324.5200005</v>
      </c>
      <c r="O54" s="408">
        <f>+N54*0.9</f>
        <v>6275371792.0680008</v>
      </c>
      <c r="P54" s="408"/>
      <c r="Q54" s="408">
        <f>+N54*0.1</f>
        <v>697263532.45200014</v>
      </c>
      <c r="R54" s="408"/>
      <c r="S54" s="408"/>
      <c r="T54" s="408">
        <v>2944312634</v>
      </c>
      <c r="U54" s="902">
        <f>+T54/N54*100</f>
        <v>42.226683269179688</v>
      </c>
      <c r="V54" s="821"/>
      <c r="W54" s="403"/>
      <c r="X54" s="403"/>
      <c r="Y54" s="571" t="s">
        <v>838</v>
      </c>
    </row>
    <row r="55" spans="1:25" ht="22.5" customHeight="1" thickTop="1" thickBot="1">
      <c r="A55" s="403">
        <v>1</v>
      </c>
      <c r="B55" s="403" t="s">
        <v>839</v>
      </c>
      <c r="C55" s="399" t="s">
        <v>852</v>
      </c>
      <c r="D55" s="399" t="s">
        <v>852</v>
      </c>
      <c r="E55" s="403" t="s">
        <v>852</v>
      </c>
      <c r="F55" s="399" t="s">
        <v>839</v>
      </c>
      <c r="G55" s="821" t="s">
        <v>852</v>
      </c>
      <c r="H55" s="399"/>
      <c r="I55" s="399"/>
      <c r="J55" s="576" t="s">
        <v>917</v>
      </c>
      <c r="K55" s="408">
        <v>69813490</v>
      </c>
      <c r="L55" s="408"/>
      <c r="M55" s="408"/>
      <c r="N55" s="408">
        <f t="shared" si="1"/>
        <v>69813490</v>
      </c>
      <c r="O55" s="408">
        <f>+N55*0.9</f>
        <v>62832141</v>
      </c>
      <c r="P55" s="408"/>
      <c r="Q55" s="408">
        <f>+N55*0.1</f>
        <v>6981349</v>
      </c>
      <c r="R55" s="408"/>
      <c r="S55" s="408"/>
      <c r="T55" s="408">
        <v>393325687</v>
      </c>
      <c r="U55" s="902">
        <f>+T55/N55*100</f>
        <v>563.39496421107151</v>
      </c>
      <c r="V55" s="821"/>
      <c r="W55" s="403"/>
      <c r="X55" s="403"/>
      <c r="Y55" s="571" t="s">
        <v>838</v>
      </c>
    </row>
    <row r="56" spans="1:25" ht="22.5" customHeight="1" thickTop="1" thickBot="1">
      <c r="A56" s="403">
        <v>1</v>
      </c>
      <c r="B56" s="403" t="s">
        <v>839</v>
      </c>
      <c r="C56" s="399" t="s">
        <v>852</v>
      </c>
      <c r="D56" s="399" t="s">
        <v>852</v>
      </c>
      <c r="E56" s="403" t="s">
        <v>852</v>
      </c>
      <c r="F56" s="821" t="s">
        <v>852</v>
      </c>
      <c r="G56" s="399"/>
      <c r="H56" s="399"/>
      <c r="I56" s="399"/>
      <c r="J56" s="575" t="s">
        <v>918</v>
      </c>
      <c r="K56" s="407">
        <f>+K57+K58</f>
        <v>0</v>
      </c>
      <c r="L56" s="407">
        <f>+L57+L58</f>
        <v>0</v>
      </c>
      <c r="M56" s="407">
        <f>+M57+M58</f>
        <v>0</v>
      </c>
      <c r="N56" s="407">
        <f t="shared" si="1"/>
        <v>0</v>
      </c>
      <c r="O56" s="407">
        <f t="shared" ref="O56:T56" si="25">+O57+O58</f>
        <v>0</v>
      </c>
      <c r="P56" s="407">
        <f t="shared" si="25"/>
        <v>0</v>
      </c>
      <c r="Q56" s="407">
        <f t="shared" si="25"/>
        <v>0</v>
      </c>
      <c r="R56" s="407">
        <f t="shared" si="25"/>
        <v>0</v>
      </c>
      <c r="S56" s="407">
        <f t="shared" si="25"/>
        <v>0</v>
      </c>
      <c r="T56" s="407">
        <f t="shared" si="25"/>
        <v>0</v>
      </c>
      <c r="U56" s="898">
        <v>0</v>
      </c>
      <c r="V56" s="821"/>
      <c r="W56" s="403" t="s">
        <v>915</v>
      </c>
      <c r="X56" s="403"/>
      <c r="Y56" s="571" t="s">
        <v>838</v>
      </c>
    </row>
    <row r="57" spans="1:25" ht="22.5" customHeight="1" thickTop="1" thickBot="1">
      <c r="A57" s="403">
        <v>1</v>
      </c>
      <c r="B57" s="403" t="s">
        <v>839</v>
      </c>
      <c r="C57" s="399" t="s">
        <v>852</v>
      </c>
      <c r="D57" s="399" t="s">
        <v>852</v>
      </c>
      <c r="E57" s="403" t="s">
        <v>852</v>
      </c>
      <c r="F57" s="399" t="s">
        <v>852</v>
      </c>
      <c r="G57" s="821" t="s">
        <v>839</v>
      </c>
      <c r="H57" s="399"/>
      <c r="I57" s="399"/>
      <c r="J57" s="576" t="s">
        <v>919</v>
      </c>
      <c r="K57" s="408"/>
      <c r="L57" s="408"/>
      <c r="M57" s="408"/>
      <c r="N57" s="408">
        <f t="shared" si="1"/>
        <v>0</v>
      </c>
      <c r="O57" s="408"/>
      <c r="P57" s="408"/>
      <c r="Q57" s="408"/>
      <c r="R57" s="408"/>
      <c r="S57" s="408"/>
      <c r="T57" s="408"/>
      <c r="U57" s="899">
        <v>0</v>
      </c>
      <c r="V57" s="821"/>
      <c r="W57" s="403"/>
      <c r="X57" s="403"/>
      <c r="Y57" s="571" t="s">
        <v>838</v>
      </c>
    </row>
    <row r="58" spans="1:25" ht="22.5" customHeight="1" thickTop="1" thickBot="1">
      <c r="A58" s="403">
        <v>1</v>
      </c>
      <c r="B58" s="403" t="s">
        <v>839</v>
      </c>
      <c r="C58" s="399" t="s">
        <v>852</v>
      </c>
      <c r="D58" s="399" t="s">
        <v>852</v>
      </c>
      <c r="E58" s="403" t="s">
        <v>852</v>
      </c>
      <c r="F58" s="399" t="s">
        <v>852</v>
      </c>
      <c r="G58" s="821" t="s">
        <v>852</v>
      </c>
      <c r="H58" s="399"/>
      <c r="I58" s="399"/>
      <c r="J58" s="576" t="s">
        <v>920</v>
      </c>
      <c r="K58" s="408"/>
      <c r="L58" s="408"/>
      <c r="M58" s="408"/>
      <c r="N58" s="408">
        <f t="shared" si="1"/>
        <v>0</v>
      </c>
      <c r="O58" s="408"/>
      <c r="P58" s="408"/>
      <c r="Q58" s="408"/>
      <c r="R58" s="408"/>
      <c r="S58" s="408"/>
      <c r="T58" s="408"/>
      <c r="U58" s="899">
        <v>0</v>
      </c>
      <c r="V58" s="821"/>
      <c r="W58" s="403"/>
      <c r="X58" s="403"/>
      <c r="Y58" s="571" t="s">
        <v>838</v>
      </c>
    </row>
    <row r="59" spans="1:25" ht="22.5" customHeight="1" thickTop="1" thickBot="1">
      <c r="A59" s="403">
        <v>1</v>
      </c>
      <c r="B59" s="403" t="s">
        <v>839</v>
      </c>
      <c r="C59" s="399" t="s">
        <v>852</v>
      </c>
      <c r="D59" s="399" t="s">
        <v>852</v>
      </c>
      <c r="E59" s="403" t="s">
        <v>852</v>
      </c>
      <c r="F59" s="821" t="s">
        <v>854</v>
      </c>
      <c r="G59" s="399"/>
      <c r="H59" s="399"/>
      <c r="I59" s="399"/>
      <c r="J59" s="575" t="s">
        <v>921</v>
      </c>
      <c r="K59" s="407">
        <f>+K60+K61</f>
        <v>2443325.15</v>
      </c>
      <c r="L59" s="407">
        <f>+L60+L61</f>
        <v>0</v>
      </c>
      <c r="M59" s="407">
        <f>+M60+M61</f>
        <v>0</v>
      </c>
      <c r="N59" s="407">
        <f t="shared" si="1"/>
        <v>2443325.15</v>
      </c>
      <c r="O59" s="407">
        <f t="shared" ref="O59:T59" si="26">+O60+O61</f>
        <v>2198992.6349999998</v>
      </c>
      <c r="P59" s="407">
        <f t="shared" si="26"/>
        <v>0</v>
      </c>
      <c r="Q59" s="407">
        <f t="shared" si="26"/>
        <v>244332.51500000001</v>
      </c>
      <c r="R59" s="407">
        <f t="shared" si="26"/>
        <v>0</v>
      </c>
      <c r="S59" s="407">
        <f t="shared" si="26"/>
        <v>0</v>
      </c>
      <c r="T59" s="407">
        <f t="shared" si="26"/>
        <v>0</v>
      </c>
      <c r="U59" s="898">
        <v>0</v>
      </c>
      <c r="V59" s="821"/>
      <c r="W59" s="403"/>
      <c r="X59" s="403"/>
      <c r="Y59" s="571" t="s">
        <v>838</v>
      </c>
    </row>
    <row r="60" spans="1:25" ht="22.5" customHeight="1" thickTop="1" thickBot="1">
      <c r="A60" s="403">
        <v>1</v>
      </c>
      <c r="B60" s="403" t="s">
        <v>839</v>
      </c>
      <c r="C60" s="399" t="s">
        <v>852</v>
      </c>
      <c r="D60" s="399" t="s">
        <v>852</v>
      </c>
      <c r="E60" s="403" t="s">
        <v>852</v>
      </c>
      <c r="F60" s="399" t="s">
        <v>854</v>
      </c>
      <c r="G60" s="821" t="s">
        <v>839</v>
      </c>
      <c r="H60" s="399"/>
      <c r="I60" s="399"/>
      <c r="J60" s="576" t="s">
        <v>922</v>
      </c>
      <c r="K60" s="408">
        <v>2443325.15</v>
      </c>
      <c r="L60" s="408"/>
      <c r="M60" s="408"/>
      <c r="N60" s="408">
        <f t="shared" si="1"/>
        <v>2443325.15</v>
      </c>
      <c r="O60" s="408">
        <f>+N60*0.9</f>
        <v>2198992.6349999998</v>
      </c>
      <c r="P60" s="408"/>
      <c r="Q60" s="408">
        <f>+N60*0.1</f>
        <v>244332.51500000001</v>
      </c>
      <c r="R60" s="408"/>
      <c r="S60" s="408"/>
      <c r="T60" s="408"/>
      <c r="U60" s="899">
        <v>0</v>
      </c>
      <c r="V60" s="821"/>
      <c r="W60" s="403"/>
      <c r="X60" s="403"/>
      <c r="Y60" s="571" t="s">
        <v>838</v>
      </c>
    </row>
    <row r="61" spans="1:25" ht="22.5" customHeight="1" thickTop="1" thickBot="1">
      <c r="A61" s="403">
        <v>1</v>
      </c>
      <c r="B61" s="403" t="s">
        <v>839</v>
      </c>
      <c r="C61" s="399" t="s">
        <v>852</v>
      </c>
      <c r="D61" s="399" t="s">
        <v>852</v>
      </c>
      <c r="E61" s="403" t="s">
        <v>852</v>
      </c>
      <c r="F61" s="399" t="s">
        <v>854</v>
      </c>
      <c r="G61" s="821" t="s">
        <v>852</v>
      </c>
      <c r="H61" s="399"/>
      <c r="I61" s="399"/>
      <c r="J61" s="576" t="s">
        <v>923</v>
      </c>
      <c r="K61" s="408"/>
      <c r="L61" s="408"/>
      <c r="M61" s="408"/>
      <c r="N61" s="408">
        <f t="shared" si="1"/>
        <v>0</v>
      </c>
      <c r="O61" s="408"/>
      <c r="P61" s="408"/>
      <c r="Q61" s="408"/>
      <c r="R61" s="408"/>
      <c r="S61" s="408"/>
      <c r="T61" s="408"/>
      <c r="U61" s="899">
        <v>0</v>
      </c>
      <c r="V61" s="821"/>
      <c r="W61" s="403"/>
      <c r="X61" s="403"/>
      <c r="Y61" s="571" t="s">
        <v>838</v>
      </c>
    </row>
    <row r="62" spans="1:25" ht="22.5" customHeight="1" thickTop="1" thickBot="1">
      <c r="A62" s="403">
        <v>1</v>
      </c>
      <c r="B62" s="403" t="s">
        <v>839</v>
      </c>
      <c r="C62" s="399" t="s">
        <v>852</v>
      </c>
      <c r="D62" s="399" t="s">
        <v>852</v>
      </c>
      <c r="E62" s="403" t="s">
        <v>852</v>
      </c>
      <c r="F62" s="821" t="s">
        <v>856</v>
      </c>
      <c r="G62" s="399"/>
      <c r="H62" s="399"/>
      <c r="I62" s="399"/>
      <c r="J62" s="575" t="s">
        <v>924</v>
      </c>
      <c r="K62" s="407">
        <f>+K63+K64</f>
        <v>0</v>
      </c>
      <c r="L62" s="407">
        <f>+L63+L64</f>
        <v>0</v>
      </c>
      <c r="M62" s="407">
        <f>+M63+M64</f>
        <v>0</v>
      </c>
      <c r="N62" s="407">
        <f t="shared" si="1"/>
        <v>0</v>
      </c>
      <c r="O62" s="407">
        <f t="shared" ref="O62:T62" si="27">+O63+O64</f>
        <v>0</v>
      </c>
      <c r="P62" s="407">
        <f t="shared" si="27"/>
        <v>0</v>
      </c>
      <c r="Q62" s="407">
        <f t="shared" si="27"/>
        <v>0</v>
      </c>
      <c r="R62" s="407">
        <f t="shared" si="27"/>
        <v>0</v>
      </c>
      <c r="S62" s="407">
        <f t="shared" si="27"/>
        <v>0</v>
      </c>
      <c r="T62" s="407">
        <f t="shared" si="27"/>
        <v>0</v>
      </c>
      <c r="U62" s="898">
        <v>0</v>
      </c>
      <c r="V62" s="821"/>
      <c r="W62" s="403"/>
      <c r="X62" s="403"/>
      <c r="Y62" s="571" t="s">
        <v>838</v>
      </c>
    </row>
    <row r="63" spans="1:25" ht="22.5" customHeight="1" thickTop="1" thickBot="1">
      <c r="A63" s="403">
        <v>1</v>
      </c>
      <c r="B63" s="403" t="s">
        <v>839</v>
      </c>
      <c r="C63" s="399" t="s">
        <v>852</v>
      </c>
      <c r="D63" s="399" t="s">
        <v>852</v>
      </c>
      <c r="E63" s="403" t="s">
        <v>852</v>
      </c>
      <c r="F63" s="399" t="s">
        <v>856</v>
      </c>
      <c r="G63" s="821" t="s">
        <v>839</v>
      </c>
      <c r="H63" s="399"/>
      <c r="I63" s="399"/>
      <c r="J63" s="576" t="s">
        <v>925</v>
      </c>
      <c r="K63" s="408"/>
      <c r="L63" s="408"/>
      <c r="M63" s="408"/>
      <c r="N63" s="408">
        <f t="shared" si="1"/>
        <v>0</v>
      </c>
      <c r="O63" s="408"/>
      <c r="P63" s="408"/>
      <c r="Q63" s="408"/>
      <c r="R63" s="408"/>
      <c r="S63" s="408"/>
      <c r="T63" s="408"/>
      <c r="U63" s="899">
        <v>0</v>
      </c>
      <c r="V63" s="821"/>
      <c r="W63" s="403"/>
      <c r="X63" s="403"/>
      <c r="Y63" s="571" t="s">
        <v>838</v>
      </c>
    </row>
    <row r="64" spans="1:25" ht="22.5" customHeight="1" thickTop="1" thickBot="1">
      <c r="A64" s="403">
        <v>1</v>
      </c>
      <c r="B64" s="403" t="s">
        <v>839</v>
      </c>
      <c r="C64" s="399" t="s">
        <v>852</v>
      </c>
      <c r="D64" s="399" t="s">
        <v>852</v>
      </c>
      <c r="E64" s="403" t="s">
        <v>852</v>
      </c>
      <c r="F64" s="399" t="s">
        <v>856</v>
      </c>
      <c r="G64" s="821" t="s">
        <v>852</v>
      </c>
      <c r="H64" s="399"/>
      <c r="I64" s="399"/>
      <c r="J64" s="576" t="s">
        <v>926</v>
      </c>
      <c r="K64" s="408"/>
      <c r="L64" s="408"/>
      <c r="M64" s="408"/>
      <c r="N64" s="408">
        <f t="shared" si="1"/>
        <v>0</v>
      </c>
      <c r="O64" s="408"/>
      <c r="P64" s="408"/>
      <c r="Q64" s="408"/>
      <c r="R64" s="408"/>
      <c r="S64" s="408"/>
      <c r="T64" s="408"/>
      <c r="U64" s="899">
        <v>0</v>
      </c>
      <c r="V64" s="821"/>
      <c r="W64" s="403"/>
      <c r="X64" s="403"/>
      <c r="Y64" s="571" t="s">
        <v>838</v>
      </c>
    </row>
    <row r="65" spans="1:25" ht="22.5" customHeight="1" thickTop="1" thickBot="1">
      <c r="A65" s="403">
        <v>1</v>
      </c>
      <c r="B65" s="403" t="s">
        <v>839</v>
      </c>
      <c r="C65" s="399" t="s">
        <v>852</v>
      </c>
      <c r="D65" s="399" t="s">
        <v>852</v>
      </c>
      <c r="E65" s="403" t="s">
        <v>852</v>
      </c>
      <c r="F65" s="821" t="s">
        <v>907</v>
      </c>
      <c r="G65" s="399"/>
      <c r="H65" s="399"/>
      <c r="I65" s="399"/>
      <c r="J65" s="575" t="s">
        <v>927</v>
      </c>
      <c r="K65" s="407">
        <f>+K66+K67</f>
        <v>0</v>
      </c>
      <c r="L65" s="407">
        <f>+L66+L67</f>
        <v>0</v>
      </c>
      <c r="M65" s="407">
        <f>+M66+M67</f>
        <v>0</v>
      </c>
      <c r="N65" s="407">
        <f t="shared" si="1"/>
        <v>0</v>
      </c>
      <c r="O65" s="407">
        <f t="shared" ref="O65:T65" si="28">+O66+O67</f>
        <v>0</v>
      </c>
      <c r="P65" s="407">
        <f t="shared" si="28"/>
        <v>0</v>
      </c>
      <c r="Q65" s="407">
        <f t="shared" si="28"/>
        <v>0</v>
      </c>
      <c r="R65" s="407">
        <f t="shared" si="28"/>
        <v>0</v>
      </c>
      <c r="S65" s="407">
        <f t="shared" si="28"/>
        <v>0</v>
      </c>
      <c r="T65" s="407">
        <f t="shared" si="28"/>
        <v>0</v>
      </c>
      <c r="U65" s="898">
        <v>0</v>
      </c>
      <c r="V65" s="821"/>
      <c r="W65" s="403"/>
      <c r="X65" s="403"/>
      <c r="Y65" s="571" t="s">
        <v>838</v>
      </c>
    </row>
    <row r="66" spans="1:25" ht="22.5" customHeight="1" thickTop="1" thickBot="1">
      <c r="A66" s="403">
        <v>1</v>
      </c>
      <c r="B66" s="403" t="s">
        <v>839</v>
      </c>
      <c r="C66" s="399" t="s">
        <v>852</v>
      </c>
      <c r="D66" s="399" t="s">
        <v>852</v>
      </c>
      <c r="E66" s="403" t="s">
        <v>852</v>
      </c>
      <c r="F66" s="399" t="s">
        <v>907</v>
      </c>
      <c r="G66" s="821" t="s">
        <v>839</v>
      </c>
      <c r="H66" s="399"/>
      <c r="I66" s="399"/>
      <c r="J66" s="576" t="s">
        <v>928</v>
      </c>
      <c r="K66" s="408"/>
      <c r="L66" s="408"/>
      <c r="M66" s="408"/>
      <c r="N66" s="408">
        <f t="shared" si="1"/>
        <v>0</v>
      </c>
      <c r="O66" s="408"/>
      <c r="P66" s="408"/>
      <c r="Q66" s="408"/>
      <c r="R66" s="408"/>
      <c r="S66" s="408"/>
      <c r="T66" s="408"/>
      <c r="U66" s="899">
        <v>0</v>
      </c>
      <c r="V66" s="821"/>
      <c r="W66" s="403"/>
      <c r="X66" s="403"/>
      <c r="Y66" s="571" t="s">
        <v>838</v>
      </c>
    </row>
    <row r="67" spans="1:25" ht="22.5" customHeight="1" thickTop="1" thickBot="1">
      <c r="A67" s="403">
        <v>1</v>
      </c>
      <c r="B67" s="403" t="s">
        <v>839</v>
      </c>
      <c r="C67" s="399" t="s">
        <v>852</v>
      </c>
      <c r="D67" s="399" t="s">
        <v>852</v>
      </c>
      <c r="E67" s="403" t="s">
        <v>852</v>
      </c>
      <c r="F67" s="399" t="s">
        <v>907</v>
      </c>
      <c r="G67" s="821" t="s">
        <v>852</v>
      </c>
      <c r="H67" s="399"/>
      <c r="I67" s="399"/>
      <c r="J67" s="576" t="s">
        <v>929</v>
      </c>
      <c r="K67" s="408"/>
      <c r="L67" s="408"/>
      <c r="M67" s="408"/>
      <c r="N67" s="408">
        <f t="shared" si="1"/>
        <v>0</v>
      </c>
      <c r="O67" s="408"/>
      <c r="P67" s="408"/>
      <c r="Q67" s="408"/>
      <c r="R67" s="408"/>
      <c r="S67" s="408"/>
      <c r="T67" s="408"/>
      <c r="U67" s="899">
        <v>0</v>
      </c>
      <c r="V67" s="821"/>
      <c r="W67" s="403"/>
      <c r="X67" s="403"/>
      <c r="Y67" s="571" t="s">
        <v>838</v>
      </c>
    </row>
    <row r="68" spans="1:25" ht="22.5" customHeight="1" thickTop="1" thickBot="1">
      <c r="A68" s="403">
        <v>1</v>
      </c>
      <c r="B68" s="403" t="s">
        <v>839</v>
      </c>
      <c r="C68" s="399" t="s">
        <v>852</v>
      </c>
      <c r="D68" s="399" t="s">
        <v>852</v>
      </c>
      <c r="E68" s="403" t="s">
        <v>852</v>
      </c>
      <c r="F68" s="821" t="s">
        <v>930</v>
      </c>
      <c r="G68" s="399"/>
      <c r="H68" s="399"/>
      <c r="I68" s="399"/>
      <c r="J68" s="575" t="s">
        <v>931</v>
      </c>
      <c r="K68" s="407">
        <f>+K69+K70</f>
        <v>0</v>
      </c>
      <c r="L68" s="407">
        <f>+L69+L70</f>
        <v>0</v>
      </c>
      <c r="M68" s="407">
        <f>+M69+M70</f>
        <v>0</v>
      </c>
      <c r="N68" s="407">
        <f t="shared" si="1"/>
        <v>0</v>
      </c>
      <c r="O68" s="407">
        <f t="shared" ref="O68:T68" si="29">+O69+O70</f>
        <v>0</v>
      </c>
      <c r="P68" s="407">
        <f t="shared" si="29"/>
        <v>0</v>
      </c>
      <c r="Q68" s="407">
        <f t="shared" si="29"/>
        <v>0</v>
      </c>
      <c r="R68" s="407">
        <f t="shared" si="29"/>
        <v>0</v>
      </c>
      <c r="S68" s="407">
        <f t="shared" si="29"/>
        <v>0</v>
      </c>
      <c r="T68" s="407">
        <f t="shared" si="29"/>
        <v>0</v>
      </c>
      <c r="U68" s="898">
        <v>0</v>
      </c>
      <c r="V68" s="821"/>
      <c r="W68" s="403"/>
      <c r="X68" s="403"/>
      <c r="Y68" s="571" t="s">
        <v>838</v>
      </c>
    </row>
    <row r="69" spans="1:25" ht="22.5" customHeight="1" thickTop="1" thickBot="1">
      <c r="A69" s="403">
        <v>1</v>
      </c>
      <c r="B69" s="403" t="s">
        <v>839</v>
      </c>
      <c r="C69" s="399" t="s">
        <v>852</v>
      </c>
      <c r="D69" s="399" t="s">
        <v>852</v>
      </c>
      <c r="E69" s="403" t="s">
        <v>852</v>
      </c>
      <c r="F69" s="399" t="s">
        <v>930</v>
      </c>
      <c r="G69" s="821" t="s">
        <v>839</v>
      </c>
      <c r="H69" s="399"/>
      <c r="I69" s="399"/>
      <c r="J69" s="576" t="s">
        <v>932</v>
      </c>
      <c r="K69" s="408"/>
      <c r="L69" s="408"/>
      <c r="M69" s="408"/>
      <c r="N69" s="408">
        <f t="shared" si="1"/>
        <v>0</v>
      </c>
      <c r="O69" s="408"/>
      <c r="P69" s="408"/>
      <c r="Q69" s="408"/>
      <c r="R69" s="408"/>
      <c r="S69" s="408"/>
      <c r="T69" s="408"/>
      <c r="U69" s="899">
        <v>0</v>
      </c>
      <c r="V69" s="821"/>
      <c r="W69" s="403"/>
      <c r="X69" s="403"/>
      <c r="Y69" s="571" t="s">
        <v>838</v>
      </c>
    </row>
    <row r="70" spans="1:25" ht="22.5" customHeight="1" thickTop="1" thickBot="1">
      <c r="A70" s="403">
        <v>1</v>
      </c>
      <c r="B70" s="403" t="s">
        <v>839</v>
      </c>
      <c r="C70" s="399" t="s">
        <v>852</v>
      </c>
      <c r="D70" s="399" t="s">
        <v>852</v>
      </c>
      <c r="E70" s="403" t="s">
        <v>852</v>
      </c>
      <c r="F70" s="399" t="s">
        <v>930</v>
      </c>
      <c r="G70" s="821" t="s">
        <v>852</v>
      </c>
      <c r="H70" s="399"/>
      <c r="I70" s="399"/>
      <c r="J70" s="576" t="s">
        <v>933</v>
      </c>
      <c r="K70" s="408"/>
      <c r="L70" s="408"/>
      <c r="M70" s="408"/>
      <c r="N70" s="408">
        <f t="shared" si="1"/>
        <v>0</v>
      </c>
      <c r="O70" s="408"/>
      <c r="P70" s="408"/>
      <c r="Q70" s="408"/>
      <c r="R70" s="408"/>
      <c r="S70" s="408"/>
      <c r="T70" s="408"/>
      <c r="U70" s="899">
        <v>0</v>
      </c>
      <c r="V70" s="821"/>
      <c r="W70" s="403"/>
      <c r="X70" s="403"/>
      <c r="Y70" s="571" t="s">
        <v>838</v>
      </c>
    </row>
    <row r="71" spans="1:25" ht="22.5" customHeight="1" thickTop="1" thickBot="1">
      <c r="A71" s="403">
        <v>1</v>
      </c>
      <c r="B71" s="403" t="s">
        <v>839</v>
      </c>
      <c r="C71" s="399" t="s">
        <v>852</v>
      </c>
      <c r="D71" s="399" t="s">
        <v>852</v>
      </c>
      <c r="E71" s="403" t="s">
        <v>852</v>
      </c>
      <c r="F71" s="821" t="s">
        <v>934</v>
      </c>
      <c r="G71" s="399"/>
      <c r="H71" s="399"/>
      <c r="I71" s="399"/>
      <c r="J71" s="575" t="s">
        <v>935</v>
      </c>
      <c r="K71" s="407">
        <f>+K72+K73</f>
        <v>0</v>
      </c>
      <c r="L71" s="407">
        <f>+L72+L73</f>
        <v>0</v>
      </c>
      <c r="M71" s="407">
        <f>+M72+M73</f>
        <v>0</v>
      </c>
      <c r="N71" s="407">
        <f t="shared" si="1"/>
        <v>0</v>
      </c>
      <c r="O71" s="407">
        <f t="shared" ref="O71:T71" si="30">+O72+O73</f>
        <v>0</v>
      </c>
      <c r="P71" s="407">
        <f t="shared" si="30"/>
        <v>0</v>
      </c>
      <c r="Q71" s="407">
        <f t="shared" si="30"/>
        <v>0</v>
      </c>
      <c r="R71" s="407">
        <f t="shared" si="30"/>
        <v>0</v>
      </c>
      <c r="S71" s="407">
        <f t="shared" si="30"/>
        <v>0</v>
      </c>
      <c r="T71" s="407">
        <f t="shared" si="30"/>
        <v>0</v>
      </c>
      <c r="U71" s="898">
        <v>0</v>
      </c>
      <c r="V71" s="821"/>
      <c r="W71" s="403"/>
      <c r="X71" s="403"/>
      <c r="Y71" s="571" t="s">
        <v>838</v>
      </c>
    </row>
    <row r="72" spans="1:25" ht="22.5" customHeight="1" thickTop="1" thickBot="1">
      <c r="A72" s="403">
        <v>1</v>
      </c>
      <c r="B72" s="403" t="s">
        <v>839</v>
      </c>
      <c r="C72" s="399" t="s">
        <v>852</v>
      </c>
      <c r="D72" s="399" t="s">
        <v>852</v>
      </c>
      <c r="E72" s="403" t="s">
        <v>852</v>
      </c>
      <c r="F72" s="399" t="s">
        <v>934</v>
      </c>
      <c r="G72" s="821" t="s">
        <v>839</v>
      </c>
      <c r="H72" s="399"/>
      <c r="I72" s="399"/>
      <c r="J72" s="576" t="s">
        <v>936</v>
      </c>
      <c r="K72" s="408"/>
      <c r="L72" s="408"/>
      <c r="M72" s="408"/>
      <c r="N72" s="408">
        <f t="shared" ref="N72:N125" si="31">K72+L72-M72</f>
        <v>0</v>
      </c>
      <c r="O72" s="408"/>
      <c r="P72" s="408"/>
      <c r="Q72" s="408"/>
      <c r="R72" s="408"/>
      <c r="S72" s="408"/>
      <c r="T72" s="408"/>
      <c r="U72" s="899">
        <v>0</v>
      </c>
      <c r="V72" s="821"/>
      <c r="W72" s="403"/>
      <c r="X72" s="403"/>
      <c r="Y72" s="571" t="s">
        <v>838</v>
      </c>
    </row>
    <row r="73" spans="1:25" ht="22.5" customHeight="1" thickTop="1" thickBot="1">
      <c r="A73" s="403">
        <v>1</v>
      </c>
      <c r="B73" s="403" t="s">
        <v>839</v>
      </c>
      <c r="C73" s="399" t="s">
        <v>852</v>
      </c>
      <c r="D73" s="399" t="s">
        <v>852</v>
      </c>
      <c r="E73" s="403" t="s">
        <v>852</v>
      </c>
      <c r="F73" s="399" t="s">
        <v>934</v>
      </c>
      <c r="G73" s="821" t="s">
        <v>852</v>
      </c>
      <c r="H73" s="399"/>
      <c r="I73" s="399"/>
      <c r="J73" s="576" t="s">
        <v>937</v>
      </c>
      <c r="K73" s="408"/>
      <c r="L73" s="408"/>
      <c r="M73" s="408"/>
      <c r="N73" s="408">
        <f t="shared" si="31"/>
        <v>0</v>
      </c>
      <c r="O73" s="408"/>
      <c r="P73" s="408"/>
      <c r="Q73" s="408"/>
      <c r="R73" s="408"/>
      <c r="S73" s="408"/>
      <c r="T73" s="408"/>
      <c r="U73" s="899">
        <v>0</v>
      </c>
      <c r="V73" s="821"/>
      <c r="W73" s="403"/>
      <c r="X73" s="403"/>
      <c r="Y73" s="571" t="s">
        <v>838</v>
      </c>
    </row>
    <row r="74" spans="1:25" ht="22.5" customHeight="1" thickTop="1" thickBot="1">
      <c r="A74" s="403">
        <v>1</v>
      </c>
      <c r="B74" s="403" t="s">
        <v>839</v>
      </c>
      <c r="C74" s="399" t="s">
        <v>852</v>
      </c>
      <c r="D74" s="399" t="s">
        <v>852</v>
      </c>
      <c r="E74" s="403" t="s">
        <v>852</v>
      </c>
      <c r="F74" s="821" t="s">
        <v>938</v>
      </c>
      <c r="G74" s="399"/>
      <c r="H74" s="399"/>
      <c r="I74" s="399"/>
      <c r="J74" s="575" t="s">
        <v>939</v>
      </c>
      <c r="K74" s="407">
        <f>+K75+K76</f>
        <v>21691310.149999999</v>
      </c>
      <c r="L74" s="407">
        <f>+L75+L76</f>
        <v>0</v>
      </c>
      <c r="M74" s="407">
        <f>+M75+M76</f>
        <v>0</v>
      </c>
      <c r="N74" s="407">
        <f t="shared" si="31"/>
        <v>21691310.149999999</v>
      </c>
      <c r="O74" s="407">
        <f t="shared" ref="O74:T74" si="32">+O75+O76</f>
        <v>19522179.134999998</v>
      </c>
      <c r="P74" s="407">
        <f t="shared" si="32"/>
        <v>0</v>
      </c>
      <c r="Q74" s="407">
        <f t="shared" si="32"/>
        <v>2169131.0150000001</v>
      </c>
      <c r="R74" s="407">
        <f t="shared" si="32"/>
        <v>0</v>
      </c>
      <c r="S74" s="407">
        <f t="shared" si="32"/>
        <v>0</v>
      </c>
      <c r="T74" s="407">
        <f t="shared" si="32"/>
        <v>21215122.989999998</v>
      </c>
      <c r="U74" s="901">
        <f>+T74/N74*100</f>
        <v>97.804710011949183</v>
      </c>
      <c r="V74" s="821"/>
      <c r="W74" s="403"/>
      <c r="X74" s="403"/>
      <c r="Y74" s="571" t="s">
        <v>838</v>
      </c>
    </row>
    <row r="75" spans="1:25" ht="22.5" customHeight="1" thickTop="1" thickBot="1">
      <c r="A75" s="403">
        <v>1</v>
      </c>
      <c r="B75" s="403" t="s">
        <v>839</v>
      </c>
      <c r="C75" s="399" t="s">
        <v>852</v>
      </c>
      <c r="D75" s="399" t="s">
        <v>852</v>
      </c>
      <c r="E75" s="403" t="s">
        <v>852</v>
      </c>
      <c r="F75" s="399" t="s">
        <v>938</v>
      </c>
      <c r="G75" s="821" t="s">
        <v>839</v>
      </c>
      <c r="H75" s="399"/>
      <c r="I75" s="399"/>
      <c r="J75" s="576" t="s">
        <v>940</v>
      </c>
      <c r="K75" s="408">
        <v>21691310.149999999</v>
      </c>
      <c r="L75" s="408"/>
      <c r="M75" s="408"/>
      <c r="N75" s="408">
        <f t="shared" si="31"/>
        <v>21691310.149999999</v>
      </c>
      <c r="O75" s="408">
        <f>+N75*0.9</f>
        <v>19522179.134999998</v>
      </c>
      <c r="P75" s="408"/>
      <c r="Q75" s="408">
        <f>+N75*0.1</f>
        <v>2169131.0150000001</v>
      </c>
      <c r="R75" s="408"/>
      <c r="S75" s="408"/>
      <c r="T75" s="408">
        <v>21215122.989999998</v>
      </c>
      <c r="U75" s="902">
        <f>+T75/N75*100</f>
        <v>97.804710011949183</v>
      </c>
      <c r="V75" s="821"/>
      <c r="W75" s="403"/>
      <c r="X75" s="403"/>
      <c r="Y75" s="571" t="s">
        <v>838</v>
      </c>
    </row>
    <row r="76" spans="1:25" ht="22.5" customHeight="1" thickTop="1" thickBot="1">
      <c r="A76" s="403">
        <v>1</v>
      </c>
      <c r="B76" s="403" t="s">
        <v>839</v>
      </c>
      <c r="C76" s="399" t="s">
        <v>852</v>
      </c>
      <c r="D76" s="399" t="s">
        <v>852</v>
      </c>
      <c r="E76" s="403" t="s">
        <v>852</v>
      </c>
      <c r="F76" s="399" t="s">
        <v>938</v>
      </c>
      <c r="G76" s="821" t="s">
        <v>852</v>
      </c>
      <c r="H76" s="399"/>
      <c r="I76" s="399"/>
      <c r="J76" s="576" t="s">
        <v>941</v>
      </c>
      <c r="K76" s="408"/>
      <c r="L76" s="408"/>
      <c r="M76" s="408"/>
      <c r="N76" s="408">
        <f t="shared" si="31"/>
        <v>0</v>
      </c>
      <c r="O76" s="408"/>
      <c r="P76" s="408"/>
      <c r="Q76" s="408"/>
      <c r="R76" s="408"/>
      <c r="S76" s="408"/>
      <c r="T76" s="408"/>
      <c r="U76" s="899">
        <v>0</v>
      </c>
      <c r="V76" s="821"/>
      <c r="W76" s="403"/>
      <c r="X76" s="403"/>
      <c r="Y76" s="571" t="s">
        <v>838</v>
      </c>
    </row>
    <row r="77" spans="1:25" s="137" customFormat="1" ht="22.5" customHeight="1" thickTop="1" thickBot="1">
      <c r="A77" s="398" t="s">
        <v>835</v>
      </c>
      <c r="B77" s="395" t="s">
        <v>839</v>
      </c>
      <c r="C77" s="395" t="s">
        <v>852</v>
      </c>
      <c r="D77" s="395" t="s">
        <v>854</v>
      </c>
      <c r="E77" s="395"/>
      <c r="F77" s="396"/>
      <c r="G77" s="396"/>
      <c r="H77" s="396"/>
      <c r="I77" s="396"/>
      <c r="J77" s="574" t="s">
        <v>942</v>
      </c>
      <c r="K77" s="397">
        <f>+K78+K82</f>
        <v>404463270.01999998</v>
      </c>
      <c r="L77" s="397">
        <f>+L78+L82</f>
        <v>0</v>
      </c>
      <c r="M77" s="397">
        <f>+M78+M82</f>
        <v>0</v>
      </c>
      <c r="N77" s="397">
        <f t="shared" si="31"/>
        <v>404463270.01999998</v>
      </c>
      <c r="O77" s="397">
        <f t="shared" ref="O77:S77" si="33">+O78+O82</f>
        <v>364016943.01800001</v>
      </c>
      <c r="P77" s="397">
        <f t="shared" si="33"/>
        <v>0</v>
      </c>
      <c r="Q77" s="397">
        <f t="shared" si="33"/>
        <v>40446327.002000004</v>
      </c>
      <c r="R77" s="397">
        <f t="shared" si="33"/>
        <v>0</v>
      </c>
      <c r="S77" s="397">
        <f t="shared" si="33"/>
        <v>0</v>
      </c>
      <c r="T77" s="397">
        <f>+T78+T82</f>
        <v>354510644</v>
      </c>
      <c r="U77" s="894">
        <f>+T77/N77*100</f>
        <v>87.649650852714032</v>
      </c>
      <c r="V77" s="395"/>
      <c r="W77" s="398" t="s">
        <v>943</v>
      </c>
      <c r="X77" s="398" t="s">
        <v>944</v>
      </c>
      <c r="Y77" s="571" t="s">
        <v>838</v>
      </c>
    </row>
    <row r="78" spans="1:25" ht="22.5" customHeight="1" thickTop="1" thickBot="1">
      <c r="A78" s="821" t="s">
        <v>835</v>
      </c>
      <c r="B78" s="821" t="s">
        <v>839</v>
      </c>
      <c r="C78" s="821" t="s">
        <v>852</v>
      </c>
      <c r="D78" s="821" t="s">
        <v>854</v>
      </c>
      <c r="E78" s="821" t="s">
        <v>839</v>
      </c>
      <c r="F78" s="821"/>
      <c r="G78" s="821"/>
      <c r="H78" s="399"/>
      <c r="I78" s="399"/>
      <c r="J78" s="575" t="s">
        <v>945</v>
      </c>
      <c r="K78" s="407">
        <f t="shared" ref="K78:T78" si="34">+K79</f>
        <v>404463270.01999998</v>
      </c>
      <c r="L78" s="407">
        <f>+L79</f>
        <v>0</v>
      </c>
      <c r="M78" s="407">
        <f>+M79</f>
        <v>0</v>
      </c>
      <c r="N78" s="407">
        <f t="shared" si="31"/>
        <v>404463270.01999998</v>
      </c>
      <c r="O78" s="407">
        <f t="shared" si="34"/>
        <v>364016943.01800001</v>
      </c>
      <c r="P78" s="407">
        <f t="shared" si="34"/>
        <v>0</v>
      </c>
      <c r="Q78" s="407">
        <f t="shared" si="34"/>
        <v>40446327.002000004</v>
      </c>
      <c r="R78" s="407">
        <f t="shared" si="34"/>
        <v>0</v>
      </c>
      <c r="S78" s="407">
        <f t="shared" si="34"/>
        <v>0</v>
      </c>
      <c r="T78" s="407">
        <f t="shared" si="34"/>
        <v>354510644</v>
      </c>
      <c r="U78" s="901">
        <f>+T78/N78*100</f>
        <v>87.649650852714032</v>
      </c>
      <c r="V78" s="401"/>
      <c r="W78" s="401" t="s">
        <v>946</v>
      </c>
      <c r="X78" s="401" t="s">
        <v>947</v>
      </c>
      <c r="Y78" s="571" t="s">
        <v>838</v>
      </c>
    </row>
    <row r="79" spans="1:25" ht="22.5" customHeight="1" thickTop="1" thickBot="1">
      <c r="A79" s="403" t="s">
        <v>835</v>
      </c>
      <c r="B79" s="399" t="s">
        <v>839</v>
      </c>
      <c r="C79" s="399" t="s">
        <v>852</v>
      </c>
      <c r="D79" s="399" t="s">
        <v>854</v>
      </c>
      <c r="E79" s="399" t="s">
        <v>839</v>
      </c>
      <c r="F79" s="821" t="s">
        <v>839</v>
      </c>
      <c r="G79" s="399"/>
      <c r="H79" s="399"/>
      <c r="I79" s="399"/>
      <c r="J79" s="575" t="s">
        <v>948</v>
      </c>
      <c r="K79" s="407">
        <f>+K80+K81</f>
        <v>404463270.01999998</v>
      </c>
      <c r="L79" s="407">
        <f>+L80+L81</f>
        <v>0</v>
      </c>
      <c r="M79" s="407">
        <f>+M80+M81</f>
        <v>0</v>
      </c>
      <c r="N79" s="407">
        <f t="shared" si="31"/>
        <v>404463270.01999998</v>
      </c>
      <c r="O79" s="407">
        <f t="shared" ref="O79:T79" si="35">+O80+O81</f>
        <v>364016943.01800001</v>
      </c>
      <c r="P79" s="407">
        <f t="shared" si="35"/>
        <v>0</v>
      </c>
      <c r="Q79" s="407">
        <f t="shared" si="35"/>
        <v>40446327.002000004</v>
      </c>
      <c r="R79" s="407">
        <f t="shared" si="35"/>
        <v>0</v>
      </c>
      <c r="S79" s="407">
        <f t="shared" si="35"/>
        <v>0</v>
      </c>
      <c r="T79" s="407">
        <f t="shared" si="35"/>
        <v>354510644</v>
      </c>
      <c r="U79" s="901">
        <f t="shared" ref="U79:U80" si="36">+T79/N79*100</f>
        <v>87.649650852714032</v>
      </c>
      <c r="V79" s="403"/>
      <c r="W79" s="403" t="s">
        <v>949</v>
      </c>
      <c r="X79" s="403" t="s">
        <v>950</v>
      </c>
      <c r="Y79" s="571" t="s">
        <v>838</v>
      </c>
    </row>
    <row r="80" spans="1:25" ht="22.5" customHeight="1" thickTop="1" thickBot="1">
      <c r="A80" s="403" t="s">
        <v>835</v>
      </c>
      <c r="B80" s="399" t="s">
        <v>839</v>
      </c>
      <c r="C80" s="399" t="s">
        <v>852</v>
      </c>
      <c r="D80" s="399" t="s">
        <v>854</v>
      </c>
      <c r="E80" s="399" t="s">
        <v>839</v>
      </c>
      <c r="F80" s="399" t="s">
        <v>839</v>
      </c>
      <c r="G80" s="821" t="s">
        <v>839</v>
      </c>
      <c r="H80" s="399"/>
      <c r="I80" s="399"/>
      <c r="J80" s="576" t="s">
        <v>951</v>
      </c>
      <c r="K80" s="407">
        <v>404463270.01999998</v>
      </c>
      <c r="L80" s="407"/>
      <c r="M80" s="407"/>
      <c r="N80" s="407">
        <f t="shared" si="31"/>
        <v>404463270.01999998</v>
      </c>
      <c r="O80" s="407">
        <f>+N80*0.9</f>
        <v>364016943.01800001</v>
      </c>
      <c r="P80" s="407"/>
      <c r="Q80" s="407">
        <f>+N80*0.1</f>
        <v>40446327.002000004</v>
      </c>
      <c r="R80" s="407"/>
      <c r="S80" s="407"/>
      <c r="T80" s="407">
        <v>339586132</v>
      </c>
      <c r="U80" s="901">
        <f t="shared" si="36"/>
        <v>83.959696014722937</v>
      </c>
      <c r="V80" s="403"/>
      <c r="W80" s="403"/>
      <c r="X80" s="403"/>
      <c r="Y80" s="571" t="s">
        <v>838</v>
      </c>
    </row>
    <row r="81" spans="1:25" ht="22.5" customHeight="1" thickTop="1" thickBot="1">
      <c r="A81" s="403" t="s">
        <v>835</v>
      </c>
      <c r="B81" s="399" t="s">
        <v>839</v>
      </c>
      <c r="C81" s="399" t="s">
        <v>852</v>
      </c>
      <c r="D81" s="399" t="s">
        <v>854</v>
      </c>
      <c r="E81" s="399" t="s">
        <v>839</v>
      </c>
      <c r="F81" s="399" t="s">
        <v>839</v>
      </c>
      <c r="G81" s="821" t="s">
        <v>852</v>
      </c>
      <c r="H81" s="399"/>
      <c r="I81" s="399"/>
      <c r="J81" s="576" t="s">
        <v>952</v>
      </c>
      <c r="K81" s="408"/>
      <c r="L81" s="408"/>
      <c r="M81" s="408"/>
      <c r="N81" s="408">
        <f t="shared" si="31"/>
        <v>0</v>
      </c>
      <c r="O81" s="408"/>
      <c r="P81" s="408"/>
      <c r="Q81" s="408"/>
      <c r="R81" s="408"/>
      <c r="S81" s="408"/>
      <c r="T81" s="408">
        <v>14924512</v>
      </c>
      <c r="U81" s="901">
        <v>0</v>
      </c>
      <c r="V81" s="403"/>
      <c r="W81" s="403"/>
      <c r="X81" s="403"/>
      <c r="Y81" s="571" t="s">
        <v>838</v>
      </c>
    </row>
    <row r="82" spans="1:25" ht="22.5" customHeight="1" thickTop="1" thickBot="1">
      <c r="A82" s="403" t="s">
        <v>835</v>
      </c>
      <c r="B82" s="399" t="s">
        <v>839</v>
      </c>
      <c r="C82" s="399" t="s">
        <v>852</v>
      </c>
      <c r="D82" s="399" t="s">
        <v>854</v>
      </c>
      <c r="E82" s="399" t="s">
        <v>839</v>
      </c>
      <c r="F82" s="821" t="s">
        <v>852</v>
      </c>
      <c r="G82" s="399"/>
      <c r="H82" s="399"/>
      <c r="I82" s="399"/>
      <c r="J82" s="575" t="s">
        <v>953</v>
      </c>
      <c r="K82" s="408">
        <f>+K83+K84</f>
        <v>0</v>
      </c>
      <c r="L82" s="408">
        <f>+L83+L84</f>
        <v>0</v>
      </c>
      <c r="M82" s="408">
        <f>+M83+M84</f>
        <v>0</v>
      </c>
      <c r="N82" s="408">
        <f t="shared" si="31"/>
        <v>0</v>
      </c>
      <c r="O82" s="408">
        <f t="shared" ref="O82:T82" si="37">+O83+O84</f>
        <v>0</v>
      </c>
      <c r="P82" s="408">
        <f t="shared" si="37"/>
        <v>0</v>
      </c>
      <c r="Q82" s="408">
        <f t="shared" si="37"/>
        <v>0</v>
      </c>
      <c r="R82" s="408">
        <f t="shared" si="37"/>
        <v>0</v>
      </c>
      <c r="S82" s="408">
        <f t="shared" si="37"/>
        <v>0</v>
      </c>
      <c r="T82" s="408">
        <f t="shared" si="37"/>
        <v>0</v>
      </c>
      <c r="U82" s="899">
        <v>0</v>
      </c>
      <c r="V82" s="403"/>
      <c r="W82" s="403" t="s">
        <v>954</v>
      </c>
      <c r="X82" s="403" t="s">
        <v>955</v>
      </c>
      <c r="Y82" s="571" t="s">
        <v>838</v>
      </c>
    </row>
    <row r="83" spans="1:25" ht="22.5" customHeight="1" thickTop="1" thickBot="1">
      <c r="A83" s="403" t="s">
        <v>835</v>
      </c>
      <c r="B83" s="399" t="s">
        <v>839</v>
      </c>
      <c r="C83" s="399" t="s">
        <v>852</v>
      </c>
      <c r="D83" s="399" t="s">
        <v>854</v>
      </c>
      <c r="E83" s="399" t="s">
        <v>839</v>
      </c>
      <c r="F83" s="399" t="s">
        <v>852</v>
      </c>
      <c r="G83" s="821" t="s">
        <v>839</v>
      </c>
      <c r="H83" s="399"/>
      <c r="I83" s="399"/>
      <c r="J83" s="576" t="s">
        <v>956</v>
      </c>
      <c r="K83" s="408"/>
      <c r="L83" s="408"/>
      <c r="M83" s="408"/>
      <c r="N83" s="408">
        <f t="shared" si="31"/>
        <v>0</v>
      </c>
      <c r="O83" s="408"/>
      <c r="P83" s="408"/>
      <c r="Q83" s="408"/>
      <c r="R83" s="408"/>
      <c r="S83" s="408"/>
      <c r="T83" s="408"/>
      <c r="U83" s="899">
        <v>0</v>
      </c>
      <c r="V83" s="403"/>
      <c r="W83" s="403"/>
      <c r="X83" s="403"/>
      <c r="Y83" s="571" t="s">
        <v>838</v>
      </c>
    </row>
    <row r="84" spans="1:25" ht="22.5" customHeight="1" thickTop="1" thickBot="1">
      <c r="A84" s="403" t="s">
        <v>835</v>
      </c>
      <c r="B84" s="399" t="s">
        <v>839</v>
      </c>
      <c r="C84" s="399" t="s">
        <v>852</v>
      </c>
      <c r="D84" s="399" t="s">
        <v>854</v>
      </c>
      <c r="E84" s="399" t="s">
        <v>839</v>
      </c>
      <c r="F84" s="399" t="s">
        <v>852</v>
      </c>
      <c r="G84" s="821" t="s">
        <v>852</v>
      </c>
      <c r="H84" s="399"/>
      <c r="I84" s="399"/>
      <c r="J84" s="576" t="s">
        <v>957</v>
      </c>
      <c r="K84" s="408"/>
      <c r="L84" s="408"/>
      <c r="M84" s="408"/>
      <c r="N84" s="408">
        <f t="shared" si="31"/>
        <v>0</v>
      </c>
      <c r="O84" s="408"/>
      <c r="P84" s="408"/>
      <c r="Q84" s="408"/>
      <c r="R84" s="408"/>
      <c r="S84" s="408"/>
      <c r="T84" s="408"/>
      <c r="U84" s="899">
        <v>0</v>
      </c>
      <c r="V84" s="403"/>
      <c r="W84" s="403"/>
      <c r="X84" s="403"/>
      <c r="Y84" s="571" t="s">
        <v>838</v>
      </c>
    </row>
    <row r="85" spans="1:25" s="137" customFormat="1" ht="22.5" customHeight="1" thickTop="1" thickBot="1">
      <c r="A85" s="398" t="s">
        <v>835</v>
      </c>
      <c r="B85" s="395" t="s">
        <v>839</v>
      </c>
      <c r="C85" s="395" t="s">
        <v>852</v>
      </c>
      <c r="D85" s="395" t="s">
        <v>856</v>
      </c>
      <c r="E85" s="395"/>
      <c r="F85" s="396"/>
      <c r="G85" s="396"/>
      <c r="H85" s="396"/>
      <c r="I85" s="396"/>
      <c r="J85" s="574" t="s">
        <v>958</v>
      </c>
      <c r="K85" s="406">
        <f>+K86+K98</f>
        <v>0</v>
      </c>
      <c r="L85" s="406">
        <f>+L86+L98</f>
        <v>0</v>
      </c>
      <c r="M85" s="406">
        <f>+M86+M98</f>
        <v>0</v>
      </c>
      <c r="N85" s="406">
        <f t="shared" si="31"/>
        <v>0</v>
      </c>
      <c r="O85" s="406">
        <f t="shared" ref="O85:T85" si="38">+O86+O98</f>
        <v>0</v>
      </c>
      <c r="P85" s="406">
        <f t="shared" si="38"/>
        <v>0</v>
      </c>
      <c r="Q85" s="406">
        <f t="shared" si="38"/>
        <v>0</v>
      </c>
      <c r="R85" s="406">
        <f t="shared" si="38"/>
        <v>0</v>
      </c>
      <c r="S85" s="406">
        <f>+S86+S98</f>
        <v>0</v>
      </c>
      <c r="T85" s="406">
        <f t="shared" si="38"/>
        <v>0</v>
      </c>
      <c r="U85" s="903">
        <v>0</v>
      </c>
      <c r="V85" s="395"/>
      <c r="W85" s="398" t="s">
        <v>912</v>
      </c>
      <c r="X85" s="398" t="s">
        <v>913</v>
      </c>
      <c r="Y85" s="571" t="s">
        <v>838</v>
      </c>
    </row>
    <row r="86" spans="1:25" s="137" customFormat="1" ht="22.5" customHeight="1" thickTop="1" thickBot="1">
      <c r="A86" s="401" t="s">
        <v>835</v>
      </c>
      <c r="B86" s="401" t="s">
        <v>839</v>
      </c>
      <c r="C86" s="821" t="s">
        <v>852</v>
      </c>
      <c r="D86" s="821" t="s">
        <v>856</v>
      </c>
      <c r="E86" s="821" t="s">
        <v>839</v>
      </c>
      <c r="F86" s="821"/>
      <c r="G86" s="821"/>
      <c r="H86" s="399"/>
      <c r="I86" s="399"/>
      <c r="J86" s="575" t="s">
        <v>959</v>
      </c>
      <c r="K86" s="407">
        <f>+K87+K95</f>
        <v>0</v>
      </c>
      <c r="L86" s="407">
        <f>+L87+L95</f>
        <v>0</v>
      </c>
      <c r="M86" s="407">
        <f>+M87+M95</f>
        <v>0</v>
      </c>
      <c r="N86" s="407">
        <f t="shared" si="31"/>
        <v>0</v>
      </c>
      <c r="O86" s="407">
        <f t="shared" ref="O86:T86" si="39">+O87+O95</f>
        <v>0</v>
      </c>
      <c r="P86" s="407">
        <f t="shared" si="39"/>
        <v>0</v>
      </c>
      <c r="Q86" s="407">
        <f t="shared" si="39"/>
        <v>0</v>
      </c>
      <c r="R86" s="407">
        <f t="shared" si="39"/>
        <v>0</v>
      </c>
      <c r="S86" s="407">
        <f>+S87+S95</f>
        <v>0</v>
      </c>
      <c r="T86" s="407">
        <f t="shared" si="39"/>
        <v>0</v>
      </c>
      <c r="U86" s="898">
        <v>0</v>
      </c>
      <c r="V86" s="821"/>
      <c r="W86" s="401" t="s">
        <v>960</v>
      </c>
      <c r="X86" s="401"/>
      <c r="Y86" s="571" t="s">
        <v>838</v>
      </c>
    </row>
    <row r="87" spans="1:25" ht="22.5" customHeight="1" thickTop="1" thickBot="1">
      <c r="A87" s="403" t="s">
        <v>835</v>
      </c>
      <c r="B87" s="403" t="s">
        <v>839</v>
      </c>
      <c r="C87" s="399" t="s">
        <v>852</v>
      </c>
      <c r="D87" s="399" t="s">
        <v>856</v>
      </c>
      <c r="E87" s="403" t="s">
        <v>839</v>
      </c>
      <c r="F87" s="821" t="s">
        <v>839</v>
      </c>
      <c r="G87" s="821"/>
      <c r="H87" s="399"/>
      <c r="I87" s="399"/>
      <c r="J87" s="575" t="s">
        <v>961</v>
      </c>
      <c r="K87" s="407">
        <f>+K88</f>
        <v>0</v>
      </c>
      <c r="L87" s="407">
        <f>+L88</f>
        <v>0</v>
      </c>
      <c r="M87" s="407">
        <f>+M88</f>
        <v>0</v>
      </c>
      <c r="N87" s="407">
        <f t="shared" si="31"/>
        <v>0</v>
      </c>
      <c r="O87" s="407">
        <f t="shared" ref="O87:T87" si="40">+O88</f>
        <v>0</v>
      </c>
      <c r="P87" s="407">
        <f t="shared" si="40"/>
        <v>0</v>
      </c>
      <c r="Q87" s="407">
        <f t="shared" si="40"/>
        <v>0</v>
      </c>
      <c r="R87" s="407">
        <f t="shared" si="40"/>
        <v>0</v>
      </c>
      <c r="S87" s="407">
        <f>+S88</f>
        <v>0</v>
      </c>
      <c r="T87" s="407">
        <f t="shared" si="40"/>
        <v>0</v>
      </c>
      <c r="U87" s="898">
        <v>0</v>
      </c>
      <c r="V87" s="821"/>
      <c r="W87" s="401"/>
      <c r="X87" s="401"/>
      <c r="Y87" s="571"/>
    </row>
    <row r="88" spans="1:25" ht="22.5" customHeight="1" thickTop="1" thickBot="1">
      <c r="A88" s="403" t="s">
        <v>835</v>
      </c>
      <c r="B88" s="403" t="s">
        <v>839</v>
      </c>
      <c r="C88" s="399" t="s">
        <v>852</v>
      </c>
      <c r="D88" s="399" t="s">
        <v>856</v>
      </c>
      <c r="E88" s="403" t="s">
        <v>839</v>
      </c>
      <c r="F88" s="399" t="s">
        <v>839</v>
      </c>
      <c r="G88" s="821" t="s">
        <v>839</v>
      </c>
      <c r="H88" s="399"/>
      <c r="I88" s="399"/>
      <c r="J88" s="575" t="s">
        <v>962</v>
      </c>
      <c r="K88" s="407">
        <f>+K89+K92</f>
        <v>0</v>
      </c>
      <c r="L88" s="407">
        <f>+L89+L92</f>
        <v>0</v>
      </c>
      <c r="M88" s="407">
        <f>+M89+M92</f>
        <v>0</v>
      </c>
      <c r="N88" s="407">
        <f t="shared" si="31"/>
        <v>0</v>
      </c>
      <c r="O88" s="407">
        <f t="shared" ref="O88:T88" si="41">+O89+O92</f>
        <v>0</v>
      </c>
      <c r="P88" s="407">
        <f t="shared" si="41"/>
        <v>0</v>
      </c>
      <c r="Q88" s="407">
        <f t="shared" si="41"/>
        <v>0</v>
      </c>
      <c r="R88" s="407">
        <f t="shared" si="41"/>
        <v>0</v>
      </c>
      <c r="S88" s="407">
        <f>+S89+S92</f>
        <v>0</v>
      </c>
      <c r="T88" s="407">
        <f t="shared" si="41"/>
        <v>0</v>
      </c>
      <c r="U88" s="898">
        <v>0</v>
      </c>
      <c r="V88" s="821"/>
      <c r="W88" s="403" t="s">
        <v>915</v>
      </c>
      <c r="X88" s="403"/>
      <c r="Y88" s="571" t="s">
        <v>838</v>
      </c>
    </row>
    <row r="89" spans="1:25" ht="22.5" customHeight="1" thickTop="1" thickBot="1">
      <c r="A89" s="403" t="s">
        <v>835</v>
      </c>
      <c r="B89" s="403" t="s">
        <v>839</v>
      </c>
      <c r="C89" s="399" t="s">
        <v>852</v>
      </c>
      <c r="D89" s="399" t="s">
        <v>856</v>
      </c>
      <c r="E89" s="403" t="s">
        <v>839</v>
      </c>
      <c r="F89" s="399" t="s">
        <v>839</v>
      </c>
      <c r="G89" s="399" t="s">
        <v>839</v>
      </c>
      <c r="H89" s="399" t="s">
        <v>839</v>
      </c>
      <c r="I89" s="399"/>
      <c r="J89" s="575" t="s">
        <v>963</v>
      </c>
      <c r="K89" s="408">
        <f>+K90+K91</f>
        <v>0</v>
      </c>
      <c r="L89" s="408">
        <f>+L90+L91</f>
        <v>0</v>
      </c>
      <c r="M89" s="408">
        <f>+M90+M91</f>
        <v>0</v>
      </c>
      <c r="N89" s="408">
        <f t="shared" si="31"/>
        <v>0</v>
      </c>
      <c r="O89" s="408">
        <f t="shared" ref="O89:T89" si="42">+O90+O91</f>
        <v>0</v>
      </c>
      <c r="P89" s="408">
        <f t="shared" si="42"/>
        <v>0</v>
      </c>
      <c r="Q89" s="408">
        <f t="shared" si="42"/>
        <v>0</v>
      </c>
      <c r="R89" s="408">
        <f t="shared" si="42"/>
        <v>0</v>
      </c>
      <c r="S89" s="408">
        <f>+S90+S91</f>
        <v>0</v>
      </c>
      <c r="T89" s="408">
        <f t="shared" si="42"/>
        <v>0</v>
      </c>
      <c r="U89" s="898">
        <v>0</v>
      </c>
      <c r="V89" s="821"/>
      <c r="W89" s="403"/>
      <c r="X89" s="403"/>
      <c r="Y89" s="571" t="s">
        <v>838</v>
      </c>
    </row>
    <row r="90" spans="1:25" ht="22.5" customHeight="1" thickTop="1" thickBot="1">
      <c r="A90" s="403" t="s">
        <v>835</v>
      </c>
      <c r="B90" s="403" t="s">
        <v>839</v>
      </c>
      <c r="C90" s="399" t="s">
        <v>852</v>
      </c>
      <c r="D90" s="399" t="s">
        <v>856</v>
      </c>
      <c r="E90" s="403" t="s">
        <v>839</v>
      </c>
      <c r="F90" s="399" t="s">
        <v>839</v>
      </c>
      <c r="G90" s="399" t="s">
        <v>839</v>
      </c>
      <c r="H90" s="399" t="s">
        <v>839</v>
      </c>
      <c r="I90" s="399" t="s">
        <v>839</v>
      </c>
      <c r="J90" s="576" t="s">
        <v>964</v>
      </c>
      <c r="K90" s="408"/>
      <c r="L90" s="408"/>
      <c r="M90" s="408"/>
      <c r="N90" s="408">
        <f t="shared" si="31"/>
        <v>0</v>
      </c>
      <c r="O90" s="408"/>
      <c r="P90" s="408"/>
      <c r="Q90" s="408"/>
      <c r="R90" s="408"/>
      <c r="S90" s="408"/>
      <c r="T90" s="408"/>
      <c r="U90" s="899">
        <v>0</v>
      </c>
      <c r="V90" s="821"/>
      <c r="W90" s="403"/>
      <c r="X90" s="403"/>
      <c r="Y90" s="571"/>
    </row>
    <row r="91" spans="1:25" ht="22.5" customHeight="1" thickTop="1" thickBot="1">
      <c r="A91" s="403" t="s">
        <v>835</v>
      </c>
      <c r="B91" s="403" t="s">
        <v>839</v>
      </c>
      <c r="C91" s="399" t="s">
        <v>852</v>
      </c>
      <c r="D91" s="399" t="s">
        <v>856</v>
      </c>
      <c r="E91" s="403" t="s">
        <v>839</v>
      </c>
      <c r="F91" s="399" t="s">
        <v>839</v>
      </c>
      <c r="G91" s="399" t="s">
        <v>839</v>
      </c>
      <c r="H91" s="399" t="s">
        <v>839</v>
      </c>
      <c r="I91" s="399" t="s">
        <v>852</v>
      </c>
      <c r="J91" s="576" t="s">
        <v>965</v>
      </c>
      <c r="K91" s="408"/>
      <c r="L91" s="408"/>
      <c r="M91" s="408"/>
      <c r="N91" s="408">
        <f t="shared" si="31"/>
        <v>0</v>
      </c>
      <c r="O91" s="408"/>
      <c r="P91" s="408"/>
      <c r="Q91" s="408"/>
      <c r="R91" s="408"/>
      <c r="S91" s="408"/>
      <c r="T91" s="408"/>
      <c r="U91" s="899">
        <v>0</v>
      </c>
      <c r="V91" s="821"/>
      <c r="W91" s="403"/>
      <c r="X91" s="403"/>
      <c r="Y91" s="571"/>
    </row>
    <row r="92" spans="1:25" ht="22.5" customHeight="1" thickTop="1" thickBot="1">
      <c r="A92" s="403" t="s">
        <v>835</v>
      </c>
      <c r="B92" s="403" t="s">
        <v>839</v>
      </c>
      <c r="C92" s="399" t="s">
        <v>852</v>
      </c>
      <c r="D92" s="399" t="s">
        <v>856</v>
      </c>
      <c r="E92" s="403" t="s">
        <v>839</v>
      </c>
      <c r="F92" s="399" t="s">
        <v>839</v>
      </c>
      <c r="G92" s="399" t="s">
        <v>839</v>
      </c>
      <c r="H92" s="399" t="s">
        <v>852</v>
      </c>
      <c r="I92" s="399"/>
      <c r="J92" s="575" t="s">
        <v>966</v>
      </c>
      <c r="K92" s="408">
        <f>+K93+K94</f>
        <v>0</v>
      </c>
      <c r="L92" s="408">
        <f>+L93+L94</f>
        <v>0</v>
      </c>
      <c r="M92" s="408">
        <f>+M93+M94</f>
        <v>0</v>
      </c>
      <c r="N92" s="408">
        <f t="shared" si="31"/>
        <v>0</v>
      </c>
      <c r="O92" s="408">
        <f t="shared" ref="O92:T92" si="43">+O93+O94</f>
        <v>0</v>
      </c>
      <c r="P92" s="408">
        <f t="shared" si="43"/>
        <v>0</v>
      </c>
      <c r="Q92" s="408">
        <f t="shared" si="43"/>
        <v>0</v>
      </c>
      <c r="R92" s="408">
        <f t="shared" si="43"/>
        <v>0</v>
      </c>
      <c r="S92" s="408">
        <f>+S93+S94</f>
        <v>0</v>
      </c>
      <c r="T92" s="408">
        <f t="shared" si="43"/>
        <v>0</v>
      </c>
      <c r="U92" s="898">
        <v>0</v>
      </c>
      <c r="V92" s="821"/>
      <c r="W92" s="403"/>
      <c r="X92" s="403"/>
      <c r="Y92" s="571" t="s">
        <v>838</v>
      </c>
    </row>
    <row r="93" spans="1:25" ht="22.5" customHeight="1" thickTop="1" thickBot="1">
      <c r="A93" s="403" t="s">
        <v>835</v>
      </c>
      <c r="B93" s="403" t="s">
        <v>839</v>
      </c>
      <c r="C93" s="399" t="s">
        <v>852</v>
      </c>
      <c r="D93" s="399" t="s">
        <v>856</v>
      </c>
      <c r="E93" s="403" t="s">
        <v>839</v>
      </c>
      <c r="F93" s="399" t="s">
        <v>839</v>
      </c>
      <c r="G93" s="399" t="s">
        <v>839</v>
      </c>
      <c r="H93" s="399" t="s">
        <v>852</v>
      </c>
      <c r="I93" s="399" t="s">
        <v>839</v>
      </c>
      <c r="J93" s="576" t="s">
        <v>967</v>
      </c>
      <c r="K93" s="408"/>
      <c r="L93" s="408"/>
      <c r="M93" s="408"/>
      <c r="N93" s="408">
        <f t="shared" si="31"/>
        <v>0</v>
      </c>
      <c r="O93" s="408"/>
      <c r="P93" s="408"/>
      <c r="Q93" s="408"/>
      <c r="R93" s="408"/>
      <c r="S93" s="408"/>
      <c r="T93" s="408"/>
      <c r="U93" s="899">
        <v>0</v>
      </c>
      <c r="V93" s="821"/>
      <c r="W93" s="403"/>
      <c r="X93" s="403"/>
      <c r="Y93" s="571"/>
    </row>
    <row r="94" spans="1:25" ht="22.5" customHeight="1" thickTop="1" thickBot="1">
      <c r="A94" s="403" t="s">
        <v>835</v>
      </c>
      <c r="B94" s="403" t="s">
        <v>839</v>
      </c>
      <c r="C94" s="399" t="s">
        <v>852</v>
      </c>
      <c r="D94" s="399" t="s">
        <v>856</v>
      </c>
      <c r="E94" s="403" t="s">
        <v>839</v>
      </c>
      <c r="F94" s="399" t="s">
        <v>839</v>
      </c>
      <c r="G94" s="399" t="s">
        <v>839</v>
      </c>
      <c r="H94" s="399" t="s">
        <v>852</v>
      </c>
      <c r="I94" s="399" t="s">
        <v>852</v>
      </c>
      <c r="J94" s="576" t="s">
        <v>968</v>
      </c>
      <c r="K94" s="408"/>
      <c r="L94" s="408"/>
      <c r="M94" s="408"/>
      <c r="N94" s="408">
        <f t="shared" si="31"/>
        <v>0</v>
      </c>
      <c r="O94" s="408"/>
      <c r="P94" s="408"/>
      <c r="Q94" s="408"/>
      <c r="R94" s="408"/>
      <c r="S94" s="408"/>
      <c r="T94" s="408"/>
      <c r="U94" s="899">
        <v>0</v>
      </c>
      <c r="V94" s="821"/>
      <c r="W94" s="403"/>
      <c r="X94" s="403"/>
      <c r="Y94" s="571"/>
    </row>
    <row r="95" spans="1:25" ht="22.5" customHeight="1" thickTop="1" thickBot="1">
      <c r="A95" s="403" t="s">
        <v>835</v>
      </c>
      <c r="B95" s="403" t="s">
        <v>839</v>
      </c>
      <c r="C95" s="399" t="s">
        <v>852</v>
      </c>
      <c r="D95" s="399" t="s">
        <v>856</v>
      </c>
      <c r="E95" s="403" t="s">
        <v>839</v>
      </c>
      <c r="F95" s="821" t="s">
        <v>852</v>
      </c>
      <c r="G95" s="399"/>
      <c r="H95" s="399"/>
      <c r="I95" s="399"/>
      <c r="J95" s="575" t="s">
        <v>969</v>
      </c>
      <c r="K95" s="408">
        <f>+K96+K97</f>
        <v>0</v>
      </c>
      <c r="L95" s="408">
        <f>+L96+L97</f>
        <v>0</v>
      </c>
      <c r="M95" s="408">
        <f>+M96+M97</f>
        <v>0</v>
      </c>
      <c r="N95" s="408">
        <f t="shared" si="31"/>
        <v>0</v>
      </c>
      <c r="O95" s="408">
        <f t="shared" ref="O95:T95" si="44">+O96+O97</f>
        <v>0</v>
      </c>
      <c r="P95" s="408">
        <f t="shared" si="44"/>
        <v>0</v>
      </c>
      <c r="Q95" s="408">
        <f t="shared" si="44"/>
        <v>0</v>
      </c>
      <c r="R95" s="408">
        <f t="shared" si="44"/>
        <v>0</v>
      </c>
      <c r="S95" s="408">
        <f>+S96+S97</f>
        <v>0</v>
      </c>
      <c r="T95" s="408">
        <f t="shared" si="44"/>
        <v>0</v>
      </c>
      <c r="U95" s="898">
        <v>0</v>
      </c>
      <c r="V95" s="821"/>
      <c r="W95" s="403"/>
      <c r="X95" s="403"/>
      <c r="Y95" s="571"/>
    </row>
    <row r="96" spans="1:25" ht="22.5" customHeight="1" thickTop="1" thickBot="1">
      <c r="A96" s="403" t="s">
        <v>835</v>
      </c>
      <c r="B96" s="403" t="s">
        <v>839</v>
      </c>
      <c r="C96" s="399" t="s">
        <v>852</v>
      </c>
      <c r="D96" s="399" t="s">
        <v>856</v>
      </c>
      <c r="E96" s="403" t="s">
        <v>839</v>
      </c>
      <c r="F96" s="399" t="s">
        <v>852</v>
      </c>
      <c r="G96" s="821" t="s">
        <v>839</v>
      </c>
      <c r="H96" s="399"/>
      <c r="I96" s="399"/>
      <c r="J96" s="576" t="s">
        <v>970</v>
      </c>
      <c r="K96" s="408"/>
      <c r="L96" s="408"/>
      <c r="M96" s="408"/>
      <c r="N96" s="408">
        <f t="shared" si="31"/>
        <v>0</v>
      </c>
      <c r="O96" s="408"/>
      <c r="P96" s="408"/>
      <c r="Q96" s="408"/>
      <c r="R96" s="408"/>
      <c r="S96" s="408"/>
      <c r="T96" s="408"/>
      <c r="U96" s="899">
        <v>0</v>
      </c>
      <c r="V96" s="821"/>
      <c r="W96" s="403"/>
      <c r="X96" s="403"/>
      <c r="Y96" s="571"/>
    </row>
    <row r="97" spans="1:25" s="137" customFormat="1" ht="22.5" customHeight="1" thickTop="1" thickBot="1">
      <c r="A97" s="403" t="s">
        <v>835</v>
      </c>
      <c r="B97" s="403" t="s">
        <v>839</v>
      </c>
      <c r="C97" s="399" t="s">
        <v>852</v>
      </c>
      <c r="D97" s="399" t="s">
        <v>856</v>
      </c>
      <c r="E97" s="403" t="s">
        <v>839</v>
      </c>
      <c r="F97" s="399" t="s">
        <v>852</v>
      </c>
      <c r="G97" s="821" t="s">
        <v>852</v>
      </c>
      <c r="H97" s="399"/>
      <c r="I97" s="399"/>
      <c r="J97" s="576" t="s">
        <v>971</v>
      </c>
      <c r="K97" s="408"/>
      <c r="L97" s="408"/>
      <c r="M97" s="408"/>
      <c r="N97" s="408">
        <f t="shared" si="31"/>
        <v>0</v>
      </c>
      <c r="O97" s="408"/>
      <c r="P97" s="408"/>
      <c r="Q97" s="408"/>
      <c r="R97" s="408"/>
      <c r="S97" s="408"/>
      <c r="T97" s="408"/>
      <c r="U97" s="899">
        <v>0</v>
      </c>
      <c r="V97" s="821"/>
      <c r="W97" s="403"/>
      <c r="X97" s="403"/>
      <c r="Y97" s="571"/>
    </row>
    <row r="98" spans="1:25" ht="22.5" customHeight="1" thickTop="1" thickBot="1">
      <c r="A98" s="401" t="s">
        <v>835</v>
      </c>
      <c r="B98" s="401" t="s">
        <v>839</v>
      </c>
      <c r="C98" s="821" t="s">
        <v>852</v>
      </c>
      <c r="D98" s="821" t="s">
        <v>856</v>
      </c>
      <c r="E98" s="821" t="s">
        <v>852</v>
      </c>
      <c r="F98" s="821"/>
      <c r="G98" s="821"/>
      <c r="H98" s="399"/>
      <c r="I98" s="399"/>
      <c r="J98" s="575" t="s">
        <v>972</v>
      </c>
      <c r="K98" s="409">
        <f>+K99+K102+K105+K108</f>
        <v>0</v>
      </c>
      <c r="L98" s="409">
        <f>+L99+L102+L105+L108</f>
        <v>0</v>
      </c>
      <c r="M98" s="409">
        <f>+M99+M102+M105+M108</f>
        <v>0</v>
      </c>
      <c r="N98" s="409">
        <f t="shared" si="31"/>
        <v>0</v>
      </c>
      <c r="O98" s="409">
        <f t="shared" ref="O98:T98" si="45">+O99+O102+O105+O108</f>
        <v>0</v>
      </c>
      <c r="P98" s="409">
        <f t="shared" si="45"/>
        <v>0</v>
      </c>
      <c r="Q98" s="409">
        <f t="shared" si="45"/>
        <v>0</v>
      </c>
      <c r="R98" s="409">
        <f t="shared" si="45"/>
        <v>0</v>
      </c>
      <c r="S98" s="409">
        <f>+S99+S102+S105+S108</f>
        <v>0</v>
      </c>
      <c r="T98" s="409">
        <f t="shared" si="45"/>
        <v>0</v>
      </c>
      <c r="U98" s="900">
        <v>0</v>
      </c>
      <c r="V98" s="821"/>
      <c r="W98" s="401" t="s">
        <v>973</v>
      </c>
      <c r="X98" s="401"/>
      <c r="Y98" s="571" t="s">
        <v>838</v>
      </c>
    </row>
    <row r="99" spans="1:25" ht="22.5" customHeight="1" thickTop="1" thickBot="1">
      <c r="A99" s="399" t="s">
        <v>835</v>
      </c>
      <c r="B99" s="403" t="s">
        <v>839</v>
      </c>
      <c r="C99" s="399" t="s">
        <v>852</v>
      </c>
      <c r="D99" s="399" t="s">
        <v>856</v>
      </c>
      <c r="E99" s="399" t="s">
        <v>852</v>
      </c>
      <c r="F99" s="821" t="s">
        <v>839</v>
      </c>
      <c r="G99" s="399"/>
      <c r="H99" s="399"/>
      <c r="I99" s="399"/>
      <c r="J99" s="575" t="s">
        <v>974</v>
      </c>
      <c r="K99" s="407">
        <f t="shared" ref="K99:T99" si="46">+K100+K101</f>
        <v>0</v>
      </c>
      <c r="L99" s="407">
        <f>+L100+L101</f>
        <v>0</v>
      </c>
      <c r="M99" s="407">
        <f>+M100+M101</f>
        <v>0</v>
      </c>
      <c r="N99" s="407">
        <f t="shared" si="31"/>
        <v>0</v>
      </c>
      <c r="O99" s="407">
        <f t="shared" si="46"/>
        <v>0</v>
      </c>
      <c r="P99" s="407">
        <f t="shared" si="46"/>
        <v>0</v>
      </c>
      <c r="Q99" s="407">
        <f t="shared" si="46"/>
        <v>0</v>
      </c>
      <c r="R99" s="407">
        <f t="shared" si="46"/>
        <v>0</v>
      </c>
      <c r="S99" s="407">
        <f t="shared" si="46"/>
        <v>0</v>
      </c>
      <c r="T99" s="407">
        <f t="shared" si="46"/>
        <v>0</v>
      </c>
      <c r="U99" s="898">
        <v>0</v>
      </c>
      <c r="V99" s="821"/>
      <c r="W99" s="403" t="s">
        <v>975</v>
      </c>
      <c r="X99" s="403" t="s">
        <v>976</v>
      </c>
      <c r="Y99" s="571" t="s">
        <v>838</v>
      </c>
    </row>
    <row r="100" spans="1:25" ht="22.5" customHeight="1" thickTop="1" thickBot="1">
      <c r="A100" s="403" t="s">
        <v>835</v>
      </c>
      <c r="B100" s="403" t="s">
        <v>839</v>
      </c>
      <c r="C100" s="399" t="s">
        <v>852</v>
      </c>
      <c r="D100" s="399" t="s">
        <v>856</v>
      </c>
      <c r="E100" s="399" t="s">
        <v>852</v>
      </c>
      <c r="F100" s="399" t="s">
        <v>839</v>
      </c>
      <c r="G100" s="821" t="s">
        <v>839</v>
      </c>
      <c r="H100" s="399"/>
      <c r="I100" s="399"/>
      <c r="J100" s="576" t="s">
        <v>977</v>
      </c>
      <c r="K100" s="408"/>
      <c r="L100" s="408"/>
      <c r="M100" s="408"/>
      <c r="N100" s="408">
        <f t="shared" si="31"/>
        <v>0</v>
      </c>
      <c r="O100" s="408"/>
      <c r="P100" s="408"/>
      <c r="Q100" s="408"/>
      <c r="R100" s="408"/>
      <c r="S100" s="408"/>
      <c r="T100" s="408"/>
      <c r="U100" s="899">
        <v>0</v>
      </c>
      <c r="V100" s="821"/>
      <c r="W100" s="403"/>
      <c r="X100" s="403"/>
      <c r="Y100" s="571" t="s">
        <v>838</v>
      </c>
    </row>
    <row r="101" spans="1:25" ht="22.5" customHeight="1" thickTop="1" thickBot="1">
      <c r="A101" s="403" t="s">
        <v>835</v>
      </c>
      <c r="B101" s="403" t="s">
        <v>839</v>
      </c>
      <c r="C101" s="399" t="s">
        <v>852</v>
      </c>
      <c r="D101" s="399" t="s">
        <v>856</v>
      </c>
      <c r="E101" s="399" t="s">
        <v>852</v>
      </c>
      <c r="F101" s="399" t="s">
        <v>839</v>
      </c>
      <c r="G101" s="821" t="s">
        <v>852</v>
      </c>
      <c r="H101" s="399"/>
      <c r="I101" s="399"/>
      <c r="J101" s="576" t="s">
        <v>978</v>
      </c>
      <c r="K101" s="408"/>
      <c r="L101" s="408"/>
      <c r="M101" s="408"/>
      <c r="N101" s="408">
        <f t="shared" si="31"/>
        <v>0</v>
      </c>
      <c r="O101" s="408"/>
      <c r="P101" s="408"/>
      <c r="Q101" s="408"/>
      <c r="R101" s="408"/>
      <c r="S101" s="408"/>
      <c r="T101" s="408"/>
      <c r="U101" s="899">
        <v>0</v>
      </c>
      <c r="V101" s="821"/>
      <c r="W101" s="403"/>
      <c r="X101" s="403"/>
      <c r="Y101" s="571" t="s">
        <v>838</v>
      </c>
    </row>
    <row r="102" spans="1:25" ht="22.5" customHeight="1" thickTop="1" thickBot="1">
      <c r="A102" s="403" t="s">
        <v>835</v>
      </c>
      <c r="B102" s="403" t="s">
        <v>839</v>
      </c>
      <c r="C102" s="399" t="s">
        <v>852</v>
      </c>
      <c r="D102" s="399" t="s">
        <v>856</v>
      </c>
      <c r="E102" s="399" t="s">
        <v>852</v>
      </c>
      <c r="F102" s="821" t="s">
        <v>852</v>
      </c>
      <c r="G102" s="399"/>
      <c r="H102" s="399"/>
      <c r="I102" s="399"/>
      <c r="J102" s="575" t="s">
        <v>979</v>
      </c>
      <c r="K102" s="407">
        <f t="shared" ref="K102:T102" si="47">+K103+K104</f>
        <v>0</v>
      </c>
      <c r="L102" s="407">
        <f>+L103+L104</f>
        <v>0</v>
      </c>
      <c r="M102" s="407">
        <f>+M103+M104</f>
        <v>0</v>
      </c>
      <c r="N102" s="407">
        <f t="shared" si="31"/>
        <v>0</v>
      </c>
      <c r="O102" s="407">
        <f t="shared" si="47"/>
        <v>0</v>
      </c>
      <c r="P102" s="407">
        <f t="shared" si="47"/>
        <v>0</v>
      </c>
      <c r="Q102" s="407">
        <f t="shared" si="47"/>
        <v>0</v>
      </c>
      <c r="R102" s="407">
        <f t="shared" si="47"/>
        <v>0</v>
      </c>
      <c r="S102" s="407">
        <f t="shared" si="47"/>
        <v>0</v>
      </c>
      <c r="T102" s="407">
        <f t="shared" si="47"/>
        <v>0</v>
      </c>
      <c r="U102" s="898">
        <v>0</v>
      </c>
      <c r="V102" s="821"/>
      <c r="W102" s="403"/>
      <c r="X102" s="403"/>
      <c r="Y102" s="571" t="s">
        <v>838</v>
      </c>
    </row>
    <row r="103" spans="1:25" ht="22.5" customHeight="1" thickTop="1" thickBot="1">
      <c r="A103" s="403" t="s">
        <v>835</v>
      </c>
      <c r="B103" s="403" t="s">
        <v>839</v>
      </c>
      <c r="C103" s="399" t="s">
        <v>852</v>
      </c>
      <c r="D103" s="399" t="s">
        <v>856</v>
      </c>
      <c r="E103" s="399" t="s">
        <v>852</v>
      </c>
      <c r="F103" s="399" t="s">
        <v>852</v>
      </c>
      <c r="G103" s="821" t="s">
        <v>839</v>
      </c>
      <c r="H103" s="399"/>
      <c r="I103" s="399"/>
      <c r="J103" s="576" t="s">
        <v>980</v>
      </c>
      <c r="K103" s="408"/>
      <c r="L103" s="408"/>
      <c r="M103" s="408"/>
      <c r="N103" s="408">
        <f t="shared" si="31"/>
        <v>0</v>
      </c>
      <c r="O103" s="408"/>
      <c r="P103" s="408"/>
      <c r="Q103" s="408"/>
      <c r="R103" s="408"/>
      <c r="S103" s="408"/>
      <c r="T103" s="408"/>
      <c r="U103" s="899">
        <v>0</v>
      </c>
      <c r="V103" s="821"/>
      <c r="W103" s="403"/>
      <c r="X103" s="403"/>
      <c r="Y103" s="571" t="s">
        <v>838</v>
      </c>
    </row>
    <row r="104" spans="1:25" ht="22.5" customHeight="1" thickTop="1" thickBot="1">
      <c r="A104" s="403" t="s">
        <v>835</v>
      </c>
      <c r="B104" s="403" t="s">
        <v>839</v>
      </c>
      <c r="C104" s="399" t="s">
        <v>852</v>
      </c>
      <c r="D104" s="399" t="s">
        <v>856</v>
      </c>
      <c r="E104" s="399" t="s">
        <v>852</v>
      </c>
      <c r="F104" s="399" t="s">
        <v>852</v>
      </c>
      <c r="G104" s="821" t="s">
        <v>852</v>
      </c>
      <c r="H104" s="399"/>
      <c r="I104" s="399"/>
      <c r="J104" s="576" t="s">
        <v>981</v>
      </c>
      <c r="K104" s="408"/>
      <c r="L104" s="408"/>
      <c r="M104" s="408"/>
      <c r="N104" s="408">
        <f t="shared" si="31"/>
        <v>0</v>
      </c>
      <c r="O104" s="408"/>
      <c r="P104" s="408"/>
      <c r="Q104" s="408"/>
      <c r="R104" s="408"/>
      <c r="S104" s="408"/>
      <c r="T104" s="408"/>
      <c r="U104" s="899">
        <v>0</v>
      </c>
      <c r="V104" s="821"/>
      <c r="W104" s="403"/>
      <c r="X104" s="403"/>
      <c r="Y104" s="571" t="s">
        <v>838</v>
      </c>
    </row>
    <row r="105" spans="1:25" ht="22.5" customHeight="1" thickTop="1" thickBot="1">
      <c r="A105" s="403" t="s">
        <v>835</v>
      </c>
      <c r="B105" s="403" t="s">
        <v>839</v>
      </c>
      <c r="C105" s="399" t="s">
        <v>852</v>
      </c>
      <c r="D105" s="399" t="s">
        <v>856</v>
      </c>
      <c r="E105" s="399" t="s">
        <v>852</v>
      </c>
      <c r="F105" s="821" t="s">
        <v>854</v>
      </c>
      <c r="G105" s="399"/>
      <c r="H105" s="399"/>
      <c r="I105" s="399"/>
      <c r="J105" s="575" t="s">
        <v>982</v>
      </c>
      <c r="K105" s="407">
        <f t="shared" ref="K105:T105" si="48">+K106+K107</f>
        <v>0</v>
      </c>
      <c r="L105" s="407">
        <f>+L106+L107</f>
        <v>0</v>
      </c>
      <c r="M105" s="407">
        <f>+M106+M107</f>
        <v>0</v>
      </c>
      <c r="N105" s="407">
        <f t="shared" si="31"/>
        <v>0</v>
      </c>
      <c r="O105" s="407">
        <f t="shared" si="48"/>
        <v>0</v>
      </c>
      <c r="P105" s="407">
        <f t="shared" si="48"/>
        <v>0</v>
      </c>
      <c r="Q105" s="407">
        <f t="shared" si="48"/>
        <v>0</v>
      </c>
      <c r="R105" s="407">
        <f t="shared" si="48"/>
        <v>0</v>
      </c>
      <c r="S105" s="407">
        <f t="shared" si="48"/>
        <v>0</v>
      </c>
      <c r="T105" s="407">
        <f t="shared" si="48"/>
        <v>0</v>
      </c>
      <c r="U105" s="898">
        <v>0</v>
      </c>
      <c r="V105" s="821"/>
      <c r="W105" s="403"/>
      <c r="X105" s="403"/>
      <c r="Y105" s="571" t="s">
        <v>838</v>
      </c>
    </row>
    <row r="106" spans="1:25" ht="22.5" customHeight="1" thickTop="1" thickBot="1">
      <c r="A106" s="403" t="s">
        <v>835</v>
      </c>
      <c r="B106" s="403" t="s">
        <v>839</v>
      </c>
      <c r="C106" s="399" t="s">
        <v>852</v>
      </c>
      <c r="D106" s="399" t="s">
        <v>856</v>
      </c>
      <c r="E106" s="399" t="s">
        <v>852</v>
      </c>
      <c r="F106" s="399" t="s">
        <v>854</v>
      </c>
      <c r="G106" s="821" t="s">
        <v>839</v>
      </c>
      <c r="H106" s="399"/>
      <c r="I106" s="399"/>
      <c r="J106" s="576" t="s">
        <v>983</v>
      </c>
      <c r="K106" s="408"/>
      <c r="L106" s="408"/>
      <c r="M106" s="408"/>
      <c r="N106" s="408">
        <f t="shared" si="31"/>
        <v>0</v>
      </c>
      <c r="O106" s="408"/>
      <c r="P106" s="408"/>
      <c r="Q106" s="408"/>
      <c r="R106" s="408"/>
      <c r="S106" s="408"/>
      <c r="T106" s="408"/>
      <c r="U106" s="899">
        <v>0</v>
      </c>
      <c r="V106" s="821"/>
      <c r="W106" s="403"/>
      <c r="X106" s="403"/>
      <c r="Y106" s="571" t="s">
        <v>838</v>
      </c>
    </row>
    <row r="107" spans="1:25" ht="22.5" customHeight="1" thickTop="1" thickBot="1">
      <c r="A107" s="403" t="s">
        <v>835</v>
      </c>
      <c r="B107" s="403" t="s">
        <v>839</v>
      </c>
      <c r="C107" s="399" t="s">
        <v>852</v>
      </c>
      <c r="D107" s="399" t="s">
        <v>856</v>
      </c>
      <c r="E107" s="399" t="s">
        <v>852</v>
      </c>
      <c r="F107" s="399" t="s">
        <v>854</v>
      </c>
      <c r="G107" s="821" t="s">
        <v>852</v>
      </c>
      <c r="H107" s="399"/>
      <c r="I107" s="399"/>
      <c r="J107" s="576" t="s">
        <v>984</v>
      </c>
      <c r="K107" s="408"/>
      <c r="L107" s="408"/>
      <c r="M107" s="408"/>
      <c r="N107" s="408">
        <f t="shared" si="31"/>
        <v>0</v>
      </c>
      <c r="O107" s="408"/>
      <c r="P107" s="408"/>
      <c r="Q107" s="408"/>
      <c r="R107" s="408"/>
      <c r="S107" s="408"/>
      <c r="T107" s="408"/>
      <c r="U107" s="899">
        <v>0</v>
      </c>
      <c r="V107" s="821"/>
      <c r="W107" s="403"/>
      <c r="X107" s="403"/>
      <c r="Y107" s="571" t="s">
        <v>838</v>
      </c>
    </row>
    <row r="108" spans="1:25" ht="22.5" customHeight="1" thickTop="1" thickBot="1">
      <c r="A108" s="403" t="s">
        <v>835</v>
      </c>
      <c r="B108" s="403" t="s">
        <v>839</v>
      </c>
      <c r="C108" s="399" t="s">
        <v>852</v>
      </c>
      <c r="D108" s="399" t="s">
        <v>856</v>
      </c>
      <c r="E108" s="399" t="s">
        <v>852</v>
      </c>
      <c r="F108" s="821" t="s">
        <v>856</v>
      </c>
      <c r="G108" s="399"/>
      <c r="H108" s="399"/>
      <c r="I108" s="399"/>
      <c r="J108" s="575" t="s">
        <v>985</v>
      </c>
      <c r="K108" s="407">
        <f t="shared" ref="K108:T108" si="49">+K109+K110</f>
        <v>0</v>
      </c>
      <c r="L108" s="407">
        <f>+L109+L110</f>
        <v>0</v>
      </c>
      <c r="M108" s="407">
        <f>+M109+M110</f>
        <v>0</v>
      </c>
      <c r="N108" s="407">
        <f t="shared" si="31"/>
        <v>0</v>
      </c>
      <c r="O108" s="407">
        <f t="shared" si="49"/>
        <v>0</v>
      </c>
      <c r="P108" s="407">
        <f t="shared" si="49"/>
        <v>0</v>
      </c>
      <c r="Q108" s="407">
        <f t="shared" si="49"/>
        <v>0</v>
      </c>
      <c r="R108" s="407">
        <f t="shared" si="49"/>
        <v>0</v>
      </c>
      <c r="S108" s="407">
        <f t="shared" si="49"/>
        <v>0</v>
      </c>
      <c r="T108" s="407">
        <f t="shared" si="49"/>
        <v>0</v>
      </c>
      <c r="U108" s="898">
        <v>0</v>
      </c>
      <c r="V108" s="821"/>
      <c r="W108" s="403"/>
      <c r="X108" s="403"/>
      <c r="Y108" s="571" t="s">
        <v>838</v>
      </c>
    </row>
    <row r="109" spans="1:25" ht="22.5" customHeight="1" thickTop="1" thickBot="1">
      <c r="A109" s="403" t="s">
        <v>835</v>
      </c>
      <c r="B109" s="403" t="s">
        <v>839</v>
      </c>
      <c r="C109" s="399" t="s">
        <v>852</v>
      </c>
      <c r="D109" s="399" t="s">
        <v>856</v>
      </c>
      <c r="E109" s="399" t="s">
        <v>852</v>
      </c>
      <c r="F109" s="399" t="s">
        <v>856</v>
      </c>
      <c r="G109" s="821" t="s">
        <v>839</v>
      </c>
      <c r="H109" s="399"/>
      <c r="I109" s="399"/>
      <c r="J109" s="576" t="s">
        <v>986</v>
      </c>
      <c r="K109" s="408"/>
      <c r="L109" s="408"/>
      <c r="M109" s="408"/>
      <c r="N109" s="408">
        <f t="shared" si="31"/>
        <v>0</v>
      </c>
      <c r="O109" s="408"/>
      <c r="P109" s="408"/>
      <c r="Q109" s="408"/>
      <c r="R109" s="408"/>
      <c r="S109" s="408"/>
      <c r="T109" s="408"/>
      <c r="U109" s="899">
        <v>0</v>
      </c>
      <c r="V109" s="821"/>
      <c r="W109" s="403"/>
      <c r="X109" s="403"/>
      <c r="Y109" s="571" t="s">
        <v>838</v>
      </c>
    </row>
    <row r="110" spans="1:25" s="137" customFormat="1" ht="22.5" customHeight="1" thickTop="1" thickBot="1">
      <c r="A110" s="403" t="s">
        <v>835</v>
      </c>
      <c r="B110" s="403" t="s">
        <v>839</v>
      </c>
      <c r="C110" s="399" t="s">
        <v>852</v>
      </c>
      <c r="D110" s="399" t="s">
        <v>856</v>
      </c>
      <c r="E110" s="399" t="s">
        <v>852</v>
      </c>
      <c r="F110" s="399" t="s">
        <v>856</v>
      </c>
      <c r="G110" s="821" t="s">
        <v>852</v>
      </c>
      <c r="H110" s="399"/>
      <c r="I110" s="399"/>
      <c r="J110" s="576" t="s">
        <v>987</v>
      </c>
      <c r="K110" s="408"/>
      <c r="L110" s="408"/>
      <c r="M110" s="408"/>
      <c r="N110" s="408">
        <f t="shared" si="31"/>
        <v>0</v>
      </c>
      <c r="O110" s="408"/>
      <c r="P110" s="408"/>
      <c r="Q110" s="408"/>
      <c r="R110" s="408"/>
      <c r="S110" s="408"/>
      <c r="T110" s="408"/>
      <c r="U110" s="899">
        <v>0</v>
      </c>
      <c r="V110" s="821"/>
      <c r="W110" s="403"/>
      <c r="X110" s="403"/>
      <c r="Y110" s="571" t="s">
        <v>838</v>
      </c>
    </row>
    <row r="111" spans="1:25" s="137" customFormat="1" ht="22.5" customHeight="1" thickTop="1" thickBot="1">
      <c r="A111" s="398" t="s">
        <v>835</v>
      </c>
      <c r="B111" s="395" t="s">
        <v>839</v>
      </c>
      <c r="C111" s="395" t="s">
        <v>852</v>
      </c>
      <c r="D111" s="395" t="s">
        <v>907</v>
      </c>
      <c r="E111" s="395"/>
      <c r="F111" s="395"/>
      <c r="G111" s="395"/>
      <c r="H111" s="396"/>
      <c r="I111" s="396"/>
      <c r="J111" s="574" t="s">
        <v>988</v>
      </c>
      <c r="K111" s="406">
        <f>+K112</f>
        <v>1975835415</v>
      </c>
      <c r="L111" s="406">
        <f>+L112</f>
        <v>222000000</v>
      </c>
      <c r="M111" s="406">
        <f>+M112</f>
        <v>0</v>
      </c>
      <c r="N111" s="406">
        <f t="shared" si="31"/>
        <v>2197835415</v>
      </c>
      <c r="O111" s="406">
        <f t="shared" ref="O111:S111" si="50">+O112</f>
        <v>2197835415</v>
      </c>
      <c r="P111" s="406">
        <f t="shared" si="50"/>
        <v>0</v>
      </c>
      <c r="Q111" s="406">
        <f t="shared" si="50"/>
        <v>0</v>
      </c>
      <c r="R111" s="406">
        <f t="shared" si="50"/>
        <v>0</v>
      </c>
      <c r="S111" s="406">
        <f t="shared" si="50"/>
        <v>0</v>
      </c>
      <c r="T111" s="406">
        <f>+T112</f>
        <v>2123400000</v>
      </c>
      <c r="U111" s="894">
        <f>+T111/N111*100</f>
        <v>96.613239804400905</v>
      </c>
      <c r="V111" s="395"/>
      <c r="W111" s="395"/>
      <c r="X111" s="395"/>
      <c r="Y111" s="571" t="s">
        <v>838</v>
      </c>
    </row>
    <row r="112" spans="1:25" ht="22.5" customHeight="1" thickTop="1" thickBot="1">
      <c r="A112" s="401" t="s">
        <v>835</v>
      </c>
      <c r="B112" s="401" t="s">
        <v>839</v>
      </c>
      <c r="C112" s="821" t="s">
        <v>852</v>
      </c>
      <c r="D112" s="821" t="s">
        <v>907</v>
      </c>
      <c r="E112" s="821" t="s">
        <v>839</v>
      </c>
      <c r="F112" s="821"/>
      <c r="G112" s="821"/>
      <c r="H112" s="399"/>
      <c r="I112" s="399"/>
      <c r="J112" s="575" t="s">
        <v>989</v>
      </c>
      <c r="K112" s="407">
        <f>+K126</f>
        <v>1975835415</v>
      </c>
      <c r="L112" s="407">
        <f>+L126</f>
        <v>222000000</v>
      </c>
      <c r="M112" s="407">
        <f>M113+M126</f>
        <v>0</v>
      </c>
      <c r="N112" s="407">
        <f t="shared" si="31"/>
        <v>2197835415</v>
      </c>
      <c r="O112" s="407">
        <f>+O126</f>
        <v>2197835415</v>
      </c>
      <c r="P112" s="407">
        <f>P113+P126</f>
        <v>0</v>
      </c>
      <c r="Q112" s="407">
        <f>Q113+Q126</f>
        <v>0</v>
      </c>
      <c r="R112" s="407">
        <f>R113+R126</f>
        <v>0</v>
      </c>
      <c r="S112" s="407">
        <f>S113+S126</f>
        <v>0</v>
      </c>
      <c r="T112" s="407">
        <f>+T113</f>
        <v>2123400000</v>
      </c>
      <c r="U112" s="901">
        <f>+T112/N112*100</f>
        <v>96.613239804400905</v>
      </c>
      <c r="V112" s="821"/>
      <c r="W112" s="401" t="s">
        <v>990</v>
      </c>
      <c r="X112" s="401"/>
      <c r="Y112" s="571" t="s">
        <v>838</v>
      </c>
    </row>
    <row r="113" spans="1:25" ht="22.5" customHeight="1" thickTop="1" thickBot="1">
      <c r="A113" s="403" t="s">
        <v>835</v>
      </c>
      <c r="B113" s="403" t="s">
        <v>839</v>
      </c>
      <c r="C113" s="399" t="s">
        <v>852</v>
      </c>
      <c r="D113" s="399" t="s">
        <v>907</v>
      </c>
      <c r="E113" s="403" t="s">
        <v>839</v>
      </c>
      <c r="F113" s="821" t="s">
        <v>839</v>
      </c>
      <c r="G113" s="399"/>
      <c r="H113" s="399"/>
      <c r="I113" s="399"/>
      <c r="J113" s="575" t="s">
        <v>991</v>
      </c>
      <c r="K113" s="407">
        <f>+K114+K117+K120+K123+K126</f>
        <v>1975835415</v>
      </c>
      <c r="L113" s="407">
        <f>+L114+L117+L120+L123+L126</f>
        <v>222000000</v>
      </c>
      <c r="M113" s="407">
        <f>+M114+M117+M120+M123+M126</f>
        <v>0</v>
      </c>
      <c r="N113" s="407">
        <f t="shared" si="31"/>
        <v>2197835415</v>
      </c>
      <c r="O113" s="407">
        <f t="shared" ref="O113:R113" si="51">+O114+O117+O120+O123+O126</f>
        <v>2197835415</v>
      </c>
      <c r="P113" s="407">
        <f t="shared" si="51"/>
        <v>0</v>
      </c>
      <c r="Q113" s="407">
        <f t="shared" si="51"/>
        <v>0</v>
      </c>
      <c r="R113" s="407">
        <f t="shared" si="51"/>
        <v>0</v>
      </c>
      <c r="S113" s="407">
        <f>+S114+S117+S120+S123+S126</f>
        <v>0</v>
      </c>
      <c r="T113" s="407">
        <f>+T126</f>
        <v>2123400000</v>
      </c>
      <c r="U113" s="901">
        <f>+T113/N113*100</f>
        <v>96.613239804400905</v>
      </c>
      <c r="V113" s="821"/>
      <c r="W113" s="403" t="s">
        <v>992</v>
      </c>
      <c r="X113" s="403"/>
      <c r="Y113" s="571" t="s">
        <v>838</v>
      </c>
    </row>
    <row r="114" spans="1:25" ht="22.5" customHeight="1" thickTop="1" thickBot="1">
      <c r="A114" s="403" t="s">
        <v>835</v>
      </c>
      <c r="B114" s="403" t="s">
        <v>839</v>
      </c>
      <c r="C114" s="399" t="s">
        <v>852</v>
      </c>
      <c r="D114" s="399" t="s">
        <v>907</v>
      </c>
      <c r="E114" s="403" t="s">
        <v>839</v>
      </c>
      <c r="F114" s="403" t="s">
        <v>839</v>
      </c>
      <c r="G114" s="821" t="s">
        <v>839</v>
      </c>
      <c r="H114" s="399"/>
      <c r="I114" s="399"/>
      <c r="J114" s="575" t="s">
        <v>993</v>
      </c>
      <c r="K114" s="409">
        <f t="shared" ref="K114:T114" si="52">+K115+K116</f>
        <v>0</v>
      </c>
      <c r="L114" s="409">
        <f t="shared" si="52"/>
        <v>0</v>
      </c>
      <c r="M114" s="409">
        <f>+M115+M116</f>
        <v>0</v>
      </c>
      <c r="N114" s="409">
        <f t="shared" si="31"/>
        <v>0</v>
      </c>
      <c r="O114" s="409">
        <f t="shared" si="52"/>
        <v>0</v>
      </c>
      <c r="P114" s="409">
        <f t="shared" si="52"/>
        <v>0</v>
      </c>
      <c r="Q114" s="409">
        <f t="shared" si="52"/>
        <v>0</v>
      </c>
      <c r="R114" s="409">
        <f t="shared" si="52"/>
        <v>0</v>
      </c>
      <c r="S114" s="409">
        <f t="shared" si="52"/>
        <v>0</v>
      </c>
      <c r="T114" s="409">
        <f t="shared" si="52"/>
        <v>0</v>
      </c>
      <c r="U114" s="900">
        <v>0</v>
      </c>
      <c r="V114" s="821"/>
      <c r="W114" s="403" t="s">
        <v>994</v>
      </c>
      <c r="X114" s="403" t="s">
        <v>995</v>
      </c>
      <c r="Y114" s="571" t="s">
        <v>838</v>
      </c>
    </row>
    <row r="115" spans="1:25" ht="22.5" customHeight="1" thickTop="1" thickBot="1">
      <c r="A115" s="403" t="s">
        <v>835</v>
      </c>
      <c r="B115" s="403" t="s">
        <v>839</v>
      </c>
      <c r="C115" s="399" t="s">
        <v>852</v>
      </c>
      <c r="D115" s="399" t="s">
        <v>907</v>
      </c>
      <c r="E115" s="403" t="s">
        <v>839</v>
      </c>
      <c r="F115" s="403" t="s">
        <v>839</v>
      </c>
      <c r="G115" s="399" t="s">
        <v>839</v>
      </c>
      <c r="H115" s="399" t="s">
        <v>839</v>
      </c>
      <c r="I115" s="399"/>
      <c r="J115" s="576" t="s">
        <v>996</v>
      </c>
      <c r="K115" s="410"/>
      <c r="L115" s="410"/>
      <c r="M115" s="410"/>
      <c r="N115" s="410">
        <f t="shared" si="31"/>
        <v>0</v>
      </c>
      <c r="O115" s="410"/>
      <c r="P115" s="410"/>
      <c r="Q115" s="410"/>
      <c r="R115" s="410"/>
      <c r="S115" s="410"/>
      <c r="T115" s="410"/>
      <c r="U115" s="897">
        <v>0</v>
      </c>
      <c r="V115" s="821"/>
      <c r="W115" s="403"/>
      <c r="X115" s="403"/>
      <c r="Y115" s="571" t="s">
        <v>838</v>
      </c>
    </row>
    <row r="116" spans="1:25" ht="22.5" customHeight="1" thickTop="1" thickBot="1">
      <c r="A116" s="403" t="s">
        <v>835</v>
      </c>
      <c r="B116" s="403" t="s">
        <v>839</v>
      </c>
      <c r="C116" s="399" t="s">
        <v>852</v>
      </c>
      <c r="D116" s="399" t="s">
        <v>907</v>
      </c>
      <c r="E116" s="403" t="s">
        <v>839</v>
      </c>
      <c r="F116" s="403" t="s">
        <v>839</v>
      </c>
      <c r="G116" s="399" t="s">
        <v>839</v>
      </c>
      <c r="H116" s="399" t="s">
        <v>852</v>
      </c>
      <c r="I116" s="399"/>
      <c r="J116" s="576" t="s">
        <v>997</v>
      </c>
      <c r="K116" s="410"/>
      <c r="L116" s="410"/>
      <c r="M116" s="410"/>
      <c r="N116" s="410">
        <f t="shared" si="31"/>
        <v>0</v>
      </c>
      <c r="O116" s="410"/>
      <c r="P116" s="410"/>
      <c r="Q116" s="410"/>
      <c r="R116" s="410"/>
      <c r="S116" s="410"/>
      <c r="T116" s="410"/>
      <c r="U116" s="897">
        <v>0</v>
      </c>
      <c r="V116" s="821"/>
      <c r="W116" s="403"/>
      <c r="X116" s="403"/>
      <c r="Y116" s="571" t="s">
        <v>838</v>
      </c>
    </row>
    <row r="117" spans="1:25" ht="22.5" customHeight="1" thickTop="1" thickBot="1">
      <c r="A117" s="403" t="s">
        <v>835</v>
      </c>
      <c r="B117" s="403" t="s">
        <v>839</v>
      </c>
      <c r="C117" s="399" t="s">
        <v>852</v>
      </c>
      <c r="D117" s="399" t="s">
        <v>907</v>
      </c>
      <c r="E117" s="403" t="s">
        <v>839</v>
      </c>
      <c r="F117" s="403" t="s">
        <v>839</v>
      </c>
      <c r="G117" s="821" t="s">
        <v>852</v>
      </c>
      <c r="H117" s="399"/>
      <c r="I117" s="399"/>
      <c r="J117" s="575" t="s">
        <v>998</v>
      </c>
      <c r="K117" s="409">
        <f t="shared" ref="K117:T117" si="53">+K118+K119</f>
        <v>0</v>
      </c>
      <c r="L117" s="409">
        <f>+L118+L119</f>
        <v>0</v>
      </c>
      <c r="M117" s="409">
        <f>+M118+M119</f>
        <v>0</v>
      </c>
      <c r="N117" s="409">
        <f t="shared" si="31"/>
        <v>0</v>
      </c>
      <c r="O117" s="409">
        <f t="shared" si="53"/>
        <v>0</v>
      </c>
      <c r="P117" s="409">
        <f t="shared" si="53"/>
        <v>0</v>
      </c>
      <c r="Q117" s="409">
        <f t="shared" si="53"/>
        <v>0</v>
      </c>
      <c r="R117" s="409">
        <f t="shared" si="53"/>
        <v>0</v>
      </c>
      <c r="S117" s="409">
        <f t="shared" si="53"/>
        <v>0</v>
      </c>
      <c r="T117" s="409">
        <f t="shared" si="53"/>
        <v>0</v>
      </c>
      <c r="U117" s="900">
        <v>0</v>
      </c>
      <c r="V117" s="821"/>
      <c r="W117" s="403"/>
      <c r="X117" s="403"/>
      <c r="Y117" s="571"/>
    </row>
    <row r="118" spans="1:25" ht="22.5" customHeight="1" thickTop="1" thickBot="1">
      <c r="A118" s="403" t="s">
        <v>835</v>
      </c>
      <c r="B118" s="403" t="s">
        <v>839</v>
      </c>
      <c r="C118" s="399" t="s">
        <v>852</v>
      </c>
      <c r="D118" s="399" t="s">
        <v>907</v>
      </c>
      <c r="E118" s="403" t="s">
        <v>839</v>
      </c>
      <c r="F118" s="403" t="s">
        <v>839</v>
      </c>
      <c r="G118" s="399" t="s">
        <v>852</v>
      </c>
      <c r="H118" s="399" t="s">
        <v>839</v>
      </c>
      <c r="I118" s="399"/>
      <c r="J118" s="576" t="s">
        <v>999</v>
      </c>
      <c r="K118" s="410"/>
      <c r="L118" s="410"/>
      <c r="M118" s="410"/>
      <c r="N118" s="410">
        <f t="shared" si="31"/>
        <v>0</v>
      </c>
      <c r="O118" s="410"/>
      <c r="P118" s="410"/>
      <c r="Q118" s="410"/>
      <c r="R118" s="410"/>
      <c r="S118" s="410"/>
      <c r="T118" s="410"/>
      <c r="U118" s="897">
        <v>0</v>
      </c>
      <c r="V118" s="821"/>
      <c r="W118" s="403"/>
      <c r="X118" s="403"/>
      <c r="Y118" s="571"/>
    </row>
    <row r="119" spans="1:25" ht="22.5" customHeight="1" thickTop="1" thickBot="1">
      <c r="A119" s="403" t="s">
        <v>835</v>
      </c>
      <c r="B119" s="403" t="s">
        <v>839</v>
      </c>
      <c r="C119" s="399" t="s">
        <v>852</v>
      </c>
      <c r="D119" s="399" t="s">
        <v>907</v>
      </c>
      <c r="E119" s="403" t="s">
        <v>839</v>
      </c>
      <c r="F119" s="403" t="s">
        <v>839</v>
      </c>
      <c r="G119" s="399" t="s">
        <v>852</v>
      </c>
      <c r="H119" s="399" t="s">
        <v>852</v>
      </c>
      <c r="I119" s="399"/>
      <c r="J119" s="576" t="s">
        <v>1000</v>
      </c>
      <c r="K119" s="410"/>
      <c r="L119" s="410"/>
      <c r="M119" s="410"/>
      <c r="N119" s="410">
        <f t="shared" si="31"/>
        <v>0</v>
      </c>
      <c r="O119" s="410"/>
      <c r="P119" s="410"/>
      <c r="Q119" s="410"/>
      <c r="R119" s="410"/>
      <c r="S119" s="410"/>
      <c r="T119" s="410"/>
      <c r="U119" s="897">
        <v>0</v>
      </c>
      <c r="V119" s="821"/>
      <c r="W119" s="403"/>
      <c r="X119" s="403"/>
      <c r="Y119" s="571"/>
    </row>
    <row r="120" spans="1:25" ht="22.5" customHeight="1" thickTop="1" thickBot="1">
      <c r="A120" s="403" t="s">
        <v>835</v>
      </c>
      <c r="B120" s="403" t="s">
        <v>839</v>
      </c>
      <c r="C120" s="399" t="s">
        <v>852</v>
      </c>
      <c r="D120" s="399" t="s">
        <v>907</v>
      </c>
      <c r="E120" s="403" t="s">
        <v>839</v>
      </c>
      <c r="F120" s="403" t="s">
        <v>839</v>
      </c>
      <c r="G120" s="821" t="s">
        <v>854</v>
      </c>
      <c r="H120" s="399"/>
      <c r="I120" s="399"/>
      <c r="J120" s="575" t="s">
        <v>1001</v>
      </c>
      <c r="K120" s="409">
        <f t="shared" ref="K120:T120" si="54">+K121+K122</f>
        <v>0</v>
      </c>
      <c r="L120" s="409">
        <f>+L121+L122</f>
        <v>0</v>
      </c>
      <c r="M120" s="409">
        <f>+M121+M122</f>
        <v>0</v>
      </c>
      <c r="N120" s="409">
        <f t="shared" si="31"/>
        <v>0</v>
      </c>
      <c r="O120" s="409">
        <f t="shared" si="54"/>
        <v>0</v>
      </c>
      <c r="P120" s="409">
        <f t="shared" si="54"/>
        <v>0</v>
      </c>
      <c r="Q120" s="409">
        <f t="shared" si="54"/>
        <v>0</v>
      </c>
      <c r="R120" s="409">
        <f t="shared" si="54"/>
        <v>0</v>
      </c>
      <c r="S120" s="409">
        <f t="shared" si="54"/>
        <v>0</v>
      </c>
      <c r="T120" s="409">
        <f t="shared" si="54"/>
        <v>0</v>
      </c>
      <c r="U120" s="900">
        <v>0</v>
      </c>
      <c r="V120" s="821"/>
      <c r="W120" s="403" t="s">
        <v>859</v>
      </c>
      <c r="X120" s="403" t="s">
        <v>860</v>
      </c>
      <c r="Y120" s="571" t="s">
        <v>838</v>
      </c>
    </row>
    <row r="121" spans="1:25" ht="22.5" customHeight="1" thickTop="1" thickBot="1">
      <c r="A121" s="403" t="s">
        <v>835</v>
      </c>
      <c r="B121" s="403" t="s">
        <v>839</v>
      </c>
      <c r="C121" s="399" t="s">
        <v>852</v>
      </c>
      <c r="D121" s="399" t="s">
        <v>907</v>
      </c>
      <c r="E121" s="403" t="s">
        <v>839</v>
      </c>
      <c r="F121" s="403" t="s">
        <v>839</v>
      </c>
      <c r="G121" s="399" t="s">
        <v>854</v>
      </c>
      <c r="H121" s="399" t="s">
        <v>839</v>
      </c>
      <c r="I121" s="399"/>
      <c r="J121" s="576" t="s">
        <v>1002</v>
      </c>
      <c r="K121" s="410"/>
      <c r="L121" s="410"/>
      <c r="M121" s="410"/>
      <c r="N121" s="410">
        <f t="shared" si="31"/>
        <v>0</v>
      </c>
      <c r="O121" s="410"/>
      <c r="P121" s="410"/>
      <c r="Q121" s="410"/>
      <c r="R121" s="410"/>
      <c r="S121" s="410"/>
      <c r="T121" s="410"/>
      <c r="U121" s="897">
        <v>0</v>
      </c>
      <c r="V121" s="821"/>
      <c r="W121" s="403"/>
      <c r="X121" s="403"/>
      <c r="Y121" s="571" t="s">
        <v>838</v>
      </c>
    </row>
    <row r="122" spans="1:25" ht="22.5" customHeight="1" thickTop="1" thickBot="1">
      <c r="A122" s="403" t="s">
        <v>835</v>
      </c>
      <c r="B122" s="403" t="s">
        <v>839</v>
      </c>
      <c r="C122" s="399" t="s">
        <v>852</v>
      </c>
      <c r="D122" s="399" t="s">
        <v>907</v>
      </c>
      <c r="E122" s="403" t="s">
        <v>839</v>
      </c>
      <c r="F122" s="403" t="s">
        <v>839</v>
      </c>
      <c r="G122" s="399" t="s">
        <v>854</v>
      </c>
      <c r="H122" s="399" t="s">
        <v>852</v>
      </c>
      <c r="I122" s="399"/>
      <c r="J122" s="576" t="s">
        <v>1003</v>
      </c>
      <c r="K122" s="410"/>
      <c r="L122" s="410"/>
      <c r="M122" s="410"/>
      <c r="N122" s="410">
        <f t="shared" si="31"/>
        <v>0</v>
      </c>
      <c r="O122" s="410"/>
      <c r="P122" s="410"/>
      <c r="Q122" s="410"/>
      <c r="R122" s="410"/>
      <c r="S122" s="410"/>
      <c r="T122" s="410"/>
      <c r="U122" s="897">
        <v>0</v>
      </c>
      <c r="V122" s="821"/>
      <c r="W122" s="403"/>
      <c r="X122" s="403"/>
      <c r="Y122" s="571" t="s">
        <v>838</v>
      </c>
    </row>
    <row r="123" spans="1:25" ht="22.5" customHeight="1" thickTop="1" thickBot="1">
      <c r="A123" s="403" t="s">
        <v>835</v>
      </c>
      <c r="B123" s="403" t="s">
        <v>839</v>
      </c>
      <c r="C123" s="399" t="s">
        <v>852</v>
      </c>
      <c r="D123" s="399" t="s">
        <v>907</v>
      </c>
      <c r="E123" s="403" t="s">
        <v>839</v>
      </c>
      <c r="F123" s="403" t="s">
        <v>839</v>
      </c>
      <c r="G123" s="821" t="s">
        <v>856</v>
      </c>
      <c r="H123" s="399"/>
      <c r="I123" s="399"/>
      <c r="J123" s="575" t="s">
        <v>1004</v>
      </c>
      <c r="K123" s="409">
        <f t="shared" ref="K123:T123" si="55">+K124+K125</f>
        <v>0</v>
      </c>
      <c r="L123" s="409">
        <f>+L124+L125</f>
        <v>0</v>
      </c>
      <c r="M123" s="409">
        <f>+M124+M125</f>
        <v>0</v>
      </c>
      <c r="N123" s="409">
        <f t="shared" si="31"/>
        <v>0</v>
      </c>
      <c r="O123" s="409">
        <f t="shared" si="55"/>
        <v>0</v>
      </c>
      <c r="P123" s="409">
        <f t="shared" si="55"/>
        <v>0</v>
      </c>
      <c r="Q123" s="409">
        <f t="shared" si="55"/>
        <v>0</v>
      </c>
      <c r="R123" s="409">
        <f t="shared" si="55"/>
        <v>0</v>
      </c>
      <c r="S123" s="409">
        <f t="shared" si="55"/>
        <v>0</v>
      </c>
      <c r="T123" s="409">
        <f t="shared" si="55"/>
        <v>0</v>
      </c>
      <c r="U123" s="900">
        <v>0</v>
      </c>
      <c r="V123" s="821"/>
      <c r="W123" s="403"/>
      <c r="X123" s="403"/>
      <c r="Y123" s="571"/>
    </row>
    <row r="124" spans="1:25" ht="22.5" customHeight="1" thickTop="1" thickBot="1">
      <c r="A124" s="403" t="s">
        <v>835</v>
      </c>
      <c r="B124" s="403" t="s">
        <v>839</v>
      </c>
      <c r="C124" s="399" t="s">
        <v>852</v>
      </c>
      <c r="D124" s="399" t="s">
        <v>907</v>
      </c>
      <c r="E124" s="403" t="s">
        <v>839</v>
      </c>
      <c r="F124" s="403" t="s">
        <v>839</v>
      </c>
      <c r="G124" s="399" t="s">
        <v>856</v>
      </c>
      <c r="H124" s="399" t="s">
        <v>839</v>
      </c>
      <c r="I124" s="399"/>
      <c r="J124" s="576" t="s">
        <v>1005</v>
      </c>
      <c r="K124" s="410"/>
      <c r="L124" s="410"/>
      <c r="M124" s="410"/>
      <c r="N124" s="410">
        <f t="shared" si="31"/>
        <v>0</v>
      </c>
      <c r="O124" s="410"/>
      <c r="P124" s="410"/>
      <c r="Q124" s="410"/>
      <c r="R124" s="410"/>
      <c r="S124" s="410"/>
      <c r="T124" s="410"/>
      <c r="U124" s="897">
        <v>0</v>
      </c>
      <c r="V124" s="821"/>
      <c r="W124" s="403"/>
      <c r="X124" s="403"/>
      <c r="Y124" s="571"/>
    </row>
    <row r="125" spans="1:25" ht="22.5" customHeight="1" thickTop="1" thickBot="1">
      <c r="A125" s="403" t="s">
        <v>835</v>
      </c>
      <c r="B125" s="403" t="s">
        <v>839</v>
      </c>
      <c r="C125" s="399" t="s">
        <v>852</v>
      </c>
      <c r="D125" s="399" t="s">
        <v>907</v>
      </c>
      <c r="E125" s="403" t="s">
        <v>839</v>
      </c>
      <c r="F125" s="403" t="s">
        <v>839</v>
      </c>
      <c r="G125" s="399" t="s">
        <v>856</v>
      </c>
      <c r="H125" s="399" t="s">
        <v>852</v>
      </c>
      <c r="I125" s="399"/>
      <c r="J125" s="576" t="s">
        <v>1006</v>
      </c>
      <c r="K125" s="410"/>
      <c r="L125" s="410"/>
      <c r="M125" s="410"/>
      <c r="N125" s="410">
        <f t="shared" si="31"/>
        <v>0</v>
      </c>
      <c r="O125" s="410"/>
      <c r="P125" s="410"/>
      <c r="Q125" s="410"/>
      <c r="R125" s="410"/>
      <c r="S125" s="410"/>
      <c r="T125" s="410"/>
      <c r="U125" s="897">
        <v>0</v>
      </c>
      <c r="V125" s="821"/>
      <c r="W125" s="403"/>
      <c r="X125" s="403"/>
      <c r="Y125" s="571"/>
    </row>
    <row r="126" spans="1:25" ht="22.5" customHeight="1" thickTop="1" thickBot="1">
      <c r="A126" s="403" t="s">
        <v>835</v>
      </c>
      <c r="B126" s="821" t="s">
        <v>839</v>
      </c>
      <c r="C126" s="821" t="s">
        <v>852</v>
      </c>
      <c r="D126" s="821" t="s">
        <v>907</v>
      </c>
      <c r="E126" s="821" t="s">
        <v>839</v>
      </c>
      <c r="F126" s="821" t="s">
        <v>852</v>
      </c>
      <c r="G126" s="821" t="s">
        <v>907</v>
      </c>
      <c r="H126" s="399"/>
      <c r="I126" s="399"/>
      <c r="J126" s="575" t="s">
        <v>1007</v>
      </c>
      <c r="K126" s="407">
        <f>+K127+K131+K135+K136+K137+K138</f>
        <v>1975835415</v>
      </c>
      <c r="L126" s="407">
        <f>+L127+L131+L135+L136+L137+L138</f>
        <v>222000000</v>
      </c>
      <c r="M126" s="407">
        <f>+M127+M131+M135+M136+M137+M138</f>
        <v>0</v>
      </c>
      <c r="N126" s="407">
        <f>+N127+N131+N135+N136+N137+N138</f>
        <v>2197835415</v>
      </c>
      <c r="O126" s="407">
        <f t="shared" ref="O126:R126" si="56">+O127+O131+O135+O136+O137+O138</f>
        <v>2197835415</v>
      </c>
      <c r="P126" s="407">
        <f t="shared" si="56"/>
        <v>0</v>
      </c>
      <c r="Q126" s="407">
        <f t="shared" si="56"/>
        <v>0</v>
      </c>
      <c r="R126" s="407">
        <f t="shared" si="56"/>
        <v>0</v>
      </c>
      <c r="S126" s="407">
        <f>+S127+S131+S135+S136+S137+S138</f>
        <v>0</v>
      </c>
      <c r="T126" s="407">
        <f>+T127+T131+T135+T136+T137+T138</f>
        <v>2123400000</v>
      </c>
      <c r="U126" s="904">
        <f>+T126/N126*100</f>
        <v>96.613239804400905</v>
      </c>
      <c r="V126" s="821"/>
      <c r="W126" s="821" t="s">
        <v>1008</v>
      </c>
      <c r="X126" s="821"/>
      <c r="Y126" s="571" t="s">
        <v>838</v>
      </c>
    </row>
    <row r="127" spans="1:25" ht="22.5" customHeight="1" thickTop="1" thickBot="1">
      <c r="A127" s="403" t="s">
        <v>835</v>
      </c>
      <c r="B127" s="403" t="s">
        <v>839</v>
      </c>
      <c r="C127" s="399" t="s">
        <v>852</v>
      </c>
      <c r="D127" s="399" t="s">
        <v>907</v>
      </c>
      <c r="E127" s="403" t="s">
        <v>839</v>
      </c>
      <c r="F127" s="399" t="s">
        <v>852</v>
      </c>
      <c r="G127" s="399" t="s">
        <v>907</v>
      </c>
      <c r="H127" s="399" t="s">
        <v>839</v>
      </c>
      <c r="I127" s="399"/>
      <c r="J127" s="575" t="s">
        <v>1009</v>
      </c>
      <c r="K127" s="409">
        <f>+K128+K129+K130</f>
        <v>1975835415</v>
      </c>
      <c r="L127" s="409">
        <f>+L128+L129+L130</f>
        <v>222000000</v>
      </c>
      <c r="M127" s="409">
        <f>+M128+M129+M130</f>
        <v>0</v>
      </c>
      <c r="N127" s="409">
        <f t="shared" ref="N127:N137" si="57">K127+L127-M127</f>
        <v>2197835415</v>
      </c>
      <c r="O127" s="409">
        <f t="shared" ref="O127:T127" si="58">+O128+O129+O130</f>
        <v>2197835415</v>
      </c>
      <c r="P127" s="409">
        <f t="shared" si="58"/>
        <v>0</v>
      </c>
      <c r="Q127" s="409">
        <f t="shared" si="58"/>
        <v>0</v>
      </c>
      <c r="R127" s="409">
        <f t="shared" si="58"/>
        <v>0</v>
      </c>
      <c r="S127" s="409">
        <f t="shared" si="58"/>
        <v>0</v>
      </c>
      <c r="T127" s="409">
        <f t="shared" si="58"/>
        <v>2123400000</v>
      </c>
      <c r="U127" s="904">
        <f>+T127/N127*100</f>
        <v>96.613239804400905</v>
      </c>
      <c r="V127" s="821"/>
      <c r="W127" s="403"/>
      <c r="X127" s="403"/>
      <c r="Y127" s="571" t="s">
        <v>838</v>
      </c>
    </row>
    <row r="128" spans="1:25" ht="22.5" customHeight="1" thickTop="1" thickBot="1">
      <c r="A128" s="403" t="s">
        <v>835</v>
      </c>
      <c r="B128" s="403" t="s">
        <v>839</v>
      </c>
      <c r="C128" s="399" t="s">
        <v>852</v>
      </c>
      <c r="D128" s="399" t="s">
        <v>907</v>
      </c>
      <c r="E128" s="403" t="s">
        <v>839</v>
      </c>
      <c r="F128" s="399" t="s">
        <v>852</v>
      </c>
      <c r="G128" s="399" t="s">
        <v>907</v>
      </c>
      <c r="H128" s="399" t="s">
        <v>839</v>
      </c>
      <c r="I128" s="399" t="s">
        <v>839</v>
      </c>
      <c r="J128" s="576" t="s">
        <v>1010</v>
      </c>
      <c r="K128" s="410">
        <v>1965735415</v>
      </c>
      <c r="L128" s="410">
        <v>222000000</v>
      </c>
      <c r="M128" s="410"/>
      <c r="N128" s="410">
        <f t="shared" si="57"/>
        <v>2187735415</v>
      </c>
      <c r="O128" s="410">
        <f>+N128</f>
        <v>2187735415</v>
      </c>
      <c r="P128" s="410"/>
      <c r="Q128" s="410"/>
      <c r="R128" s="410"/>
      <c r="S128" s="410"/>
      <c r="T128" s="410">
        <v>2123400000</v>
      </c>
      <c r="U128" s="896">
        <f>+T128/N128*100</f>
        <v>97.059268933578963</v>
      </c>
      <c r="V128" s="821"/>
      <c r="W128" s="403"/>
      <c r="X128" s="403"/>
      <c r="Y128" s="571" t="s">
        <v>838</v>
      </c>
    </row>
    <row r="129" spans="1:25" ht="22.5" customHeight="1" thickTop="1" thickBot="1">
      <c r="A129" s="403" t="s">
        <v>835</v>
      </c>
      <c r="B129" s="403" t="s">
        <v>839</v>
      </c>
      <c r="C129" s="399" t="s">
        <v>852</v>
      </c>
      <c r="D129" s="399" t="s">
        <v>907</v>
      </c>
      <c r="E129" s="403" t="s">
        <v>839</v>
      </c>
      <c r="F129" s="399" t="s">
        <v>852</v>
      </c>
      <c r="G129" s="399" t="s">
        <v>907</v>
      </c>
      <c r="H129" s="399" t="s">
        <v>839</v>
      </c>
      <c r="I129" s="399" t="s">
        <v>852</v>
      </c>
      <c r="J129" s="576" t="s">
        <v>1011</v>
      </c>
      <c r="K129" s="410"/>
      <c r="L129" s="410"/>
      <c r="M129" s="410"/>
      <c r="N129" s="410">
        <f t="shared" si="57"/>
        <v>0</v>
      </c>
      <c r="O129" s="410"/>
      <c r="P129" s="410"/>
      <c r="Q129" s="410"/>
      <c r="R129" s="410"/>
      <c r="S129" s="410"/>
      <c r="T129" s="410">
        <v>0</v>
      </c>
      <c r="U129" s="897">
        <v>0</v>
      </c>
      <c r="V129" s="821"/>
      <c r="W129" s="403"/>
      <c r="X129" s="403"/>
      <c r="Y129" s="571" t="s">
        <v>838</v>
      </c>
    </row>
    <row r="130" spans="1:25" ht="22.5" customHeight="1" thickTop="1" thickBot="1">
      <c r="A130" s="403" t="s">
        <v>835</v>
      </c>
      <c r="B130" s="403" t="s">
        <v>839</v>
      </c>
      <c r="C130" s="399" t="s">
        <v>852</v>
      </c>
      <c r="D130" s="399" t="s">
        <v>907</v>
      </c>
      <c r="E130" s="403" t="s">
        <v>839</v>
      </c>
      <c r="F130" s="399" t="s">
        <v>852</v>
      </c>
      <c r="G130" s="399" t="s">
        <v>907</v>
      </c>
      <c r="H130" s="399" t="s">
        <v>839</v>
      </c>
      <c r="I130" s="399" t="s">
        <v>854</v>
      </c>
      <c r="J130" s="576" t="s">
        <v>1012</v>
      </c>
      <c r="K130" s="410">
        <v>10100000</v>
      </c>
      <c r="L130" s="410"/>
      <c r="M130" s="410"/>
      <c r="N130" s="410">
        <f t="shared" si="57"/>
        <v>10100000</v>
      </c>
      <c r="O130" s="410">
        <f>+N130</f>
        <v>10100000</v>
      </c>
      <c r="P130" s="410"/>
      <c r="Q130" s="410"/>
      <c r="R130" s="410"/>
      <c r="S130" s="410"/>
      <c r="T130" s="410">
        <v>0</v>
      </c>
      <c r="U130" s="897">
        <v>0</v>
      </c>
      <c r="V130" s="821"/>
      <c r="W130" s="403"/>
      <c r="X130" s="403"/>
      <c r="Y130" s="571" t="s">
        <v>838</v>
      </c>
    </row>
    <row r="131" spans="1:25" ht="22.5" customHeight="1" thickTop="1" thickBot="1">
      <c r="A131" s="403" t="s">
        <v>835</v>
      </c>
      <c r="B131" s="403" t="s">
        <v>839</v>
      </c>
      <c r="C131" s="399" t="s">
        <v>852</v>
      </c>
      <c r="D131" s="399" t="s">
        <v>907</v>
      </c>
      <c r="E131" s="403" t="s">
        <v>839</v>
      </c>
      <c r="F131" s="399" t="s">
        <v>852</v>
      </c>
      <c r="G131" s="399" t="s">
        <v>907</v>
      </c>
      <c r="H131" s="399" t="s">
        <v>852</v>
      </c>
      <c r="I131" s="399"/>
      <c r="J131" s="575" t="s">
        <v>1013</v>
      </c>
      <c r="K131" s="409">
        <f t="shared" ref="K131:T131" si="59">+K132+K133+K134</f>
        <v>0</v>
      </c>
      <c r="L131" s="409">
        <f>+L132+L133+L134</f>
        <v>0</v>
      </c>
      <c r="M131" s="409">
        <f>+M132+M133+M134</f>
        <v>0</v>
      </c>
      <c r="N131" s="409">
        <f t="shared" si="57"/>
        <v>0</v>
      </c>
      <c r="O131" s="409">
        <f t="shared" si="59"/>
        <v>0</v>
      </c>
      <c r="P131" s="409">
        <f t="shared" si="59"/>
        <v>0</v>
      </c>
      <c r="Q131" s="409">
        <f t="shared" si="59"/>
        <v>0</v>
      </c>
      <c r="R131" s="409">
        <f t="shared" si="59"/>
        <v>0</v>
      </c>
      <c r="S131" s="409">
        <f t="shared" si="59"/>
        <v>0</v>
      </c>
      <c r="T131" s="409">
        <f t="shared" si="59"/>
        <v>0</v>
      </c>
      <c r="U131" s="900">
        <v>0</v>
      </c>
      <c r="V131" s="821"/>
      <c r="W131" s="403"/>
      <c r="X131" s="403"/>
      <c r="Y131" s="571" t="s">
        <v>838</v>
      </c>
    </row>
    <row r="132" spans="1:25" ht="22.5" customHeight="1" thickTop="1" thickBot="1">
      <c r="A132" s="403" t="s">
        <v>835</v>
      </c>
      <c r="B132" s="403" t="s">
        <v>839</v>
      </c>
      <c r="C132" s="399" t="s">
        <v>852</v>
      </c>
      <c r="D132" s="399" t="s">
        <v>907</v>
      </c>
      <c r="E132" s="403" t="s">
        <v>839</v>
      </c>
      <c r="F132" s="399" t="s">
        <v>852</v>
      </c>
      <c r="G132" s="399" t="s">
        <v>907</v>
      </c>
      <c r="H132" s="399" t="s">
        <v>852</v>
      </c>
      <c r="I132" s="399" t="s">
        <v>839</v>
      </c>
      <c r="J132" s="576" t="s">
        <v>1014</v>
      </c>
      <c r="K132" s="410"/>
      <c r="L132" s="410"/>
      <c r="M132" s="410"/>
      <c r="N132" s="410">
        <f t="shared" si="57"/>
        <v>0</v>
      </c>
      <c r="O132" s="410"/>
      <c r="P132" s="410"/>
      <c r="Q132" s="410"/>
      <c r="R132" s="410"/>
      <c r="S132" s="410"/>
      <c r="T132" s="410"/>
      <c r="U132" s="897">
        <v>0</v>
      </c>
      <c r="V132" s="821"/>
      <c r="W132" s="403"/>
      <c r="X132" s="403"/>
      <c r="Y132" s="571" t="s">
        <v>838</v>
      </c>
    </row>
    <row r="133" spans="1:25" ht="22.5" customHeight="1" thickTop="1" thickBot="1">
      <c r="A133" s="403" t="s">
        <v>835</v>
      </c>
      <c r="B133" s="403" t="s">
        <v>839</v>
      </c>
      <c r="C133" s="399" t="s">
        <v>852</v>
      </c>
      <c r="D133" s="399" t="s">
        <v>907</v>
      </c>
      <c r="E133" s="403" t="s">
        <v>839</v>
      </c>
      <c r="F133" s="399" t="s">
        <v>852</v>
      </c>
      <c r="G133" s="399" t="s">
        <v>907</v>
      </c>
      <c r="H133" s="399" t="s">
        <v>852</v>
      </c>
      <c r="I133" s="399" t="s">
        <v>852</v>
      </c>
      <c r="J133" s="576" t="s">
        <v>1015</v>
      </c>
      <c r="K133" s="410"/>
      <c r="L133" s="410"/>
      <c r="M133" s="410"/>
      <c r="N133" s="410">
        <f t="shared" si="57"/>
        <v>0</v>
      </c>
      <c r="O133" s="410"/>
      <c r="P133" s="410"/>
      <c r="Q133" s="410"/>
      <c r="R133" s="410"/>
      <c r="S133" s="410"/>
      <c r="T133" s="410"/>
      <c r="U133" s="897">
        <v>0</v>
      </c>
      <c r="V133" s="821"/>
      <c r="W133" s="403"/>
      <c r="X133" s="403"/>
      <c r="Y133" s="571" t="s">
        <v>838</v>
      </c>
    </row>
    <row r="134" spans="1:25" ht="22.5" customHeight="1" thickTop="1" thickBot="1">
      <c r="A134" s="403" t="s">
        <v>835</v>
      </c>
      <c r="B134" s="403" t="s">
        <v>839</v>
      </c>
      <c r="C134" s="399" t="s">
        <v>852</v>
      </c>
      <c r="D134" s="399" t="s">
        <v>907</v>
      </c>
      <c r="E134" s="403" t="s">
        <v>839</v>
      </c>
      <c r="F134" s="399" t="s">
        <v>852</v>
      </c>
      <c r="G134" s="399" t="s">
        <v>907</v>
      </c>
      <c r="H134" s="399" t="s">
        <v>852</v>
      </c>
      <c r="I134" s="399" t="s">
        <v>854</v>
      </c>
      <c r="J134" s="576" t="s">
        <v>1016</v>
      </c>
      <c r="K134" s="410"/>
      <c r="L134" s="410"/>
      <c r="M134" s="410"/>
      <c r="N134" s="410">
        <f t="shared" si="57"/>
        <v>0</v>
      </c>
      <c r="O134" s="410"/>
      <c r="P134" s="410"/>
      <c r="Q134" s="410"/>
      <c r="R134" s="410"/>
      <c r="S134" s="410"/>
      <c r="T134" s="410"/>
      <c r="U134" s="897">
        <v>0</v>
      </c>
      <c r="V134" s="821"/>
      <c r="W134" s="403"/>
      <c r="X134" s="403"/>
      <c r="Y134" s="571" t="s">
        <v>838</v>
      </c>
    </row>
    <row r="135" spans="1:25" ht="22.5" customHeight="1" thickTop="1" thickBot="1">
      <c r="A135" s="403" t="s">
        <v>835</v>
      </c>
      <c r="B135" s="403" t="s">
        <v>839</v>
      </c>
      <c r="C135" s="399" t="s">
        <v>852</v>
      </c>
      <c r="D135" s="399" t="s">
        <v>907</v>
      </c>
      <c r="E135" s="403" t="s">
        <v>839</v>
      </c>
      <c r="F135" s="399" t="s">
        <v>852</v>
      </c>
      <c r="G135" s="399" t="s">
        <v>907</v>
      </c>
      <c r="H135" s="399" t="s">
        <v>854</v>
      </c>
      <c r="I135" s="399"/>
      <c r="J135" s="575" t="s">
        <v>1017</v>
      </c>
      <c r="K135" s="409">
        <v>0</v>
      </c>
      <c r="L135" s="409">
        <v>0</v>
      </c>
      <c r="M135" s="409">
        <v>0</v>
      </c>
      <c r="N135" s="409">
        <f t="shared" si="57"/>
        <v>0</v>
      </c>
      <c r="O135" s="409">
        <v>0</v>
      </c>
      <c r="P135" s="409">
        <v>0</v>
      </c>
      <c r="Q135" s="409">
        <v>0</v>
      </c>
      <c r="R135" s="409">
        <v>0</v>
      </c>
      <c r="S135" s="409">
        <v>0</v>
      </c>
      <c r="T135" s="409">
        <v>0</v>
      </c>
      <c r="U135" s="900">
        <v>0</v>
      </c>
      <c r="V135" s="821"/>
      <c r="W135" s="403"/>
      <c r="X135" s="403"/>
      <c r="Y135" s="571" t="s">
        <v>838</v>
      </c>
    </row>
    <row r="136" spans="1:25" ht="22.5" customHeight="1" thickTop="1" thickBot="1">
      <c r="A136" s="403" t="s">
        <v>835</v>
      </c>
      <c r="B136" s="403" t="s">
        <v>839</v>
      </c>
      <c r="C136" s="399" t="s">
        <v>852</v>
      </c>
      <c r="D136" s="399" t="s">
        <v>907</v>
      </c>
      <c r="E136" s="403" t="s">
        <v>839</v>
      </c>
      <c r="F136" s="399" t="s">
        <v>852</v>
      </c>
      <c r="G136" s="399" t="s">
        <v>907</v>
      </c>
      <c r="H136" s="399" t="s">
        <v>856</v>
      </c>
      <c r="I136" s="399"/>
      <c r="J136" s="575" t="s">
        <v>1018</v>
      </c>
      <c r="K136" s="409">
        <v>0</v>
      </c>
      <c r="L136" s="409">
        <v>0</v>
      </c>
      <c r="M136" s="409">
        <v>0</v>
      </c>
      <c r="N136" s="409">
        <f t="shared" si="57"/>
        <v>0</v>
      </c>
      <c r="O136" s="409">
        <v>0</v>
      </c>
      <c r="P136" s="409">
        <v>0</v>
      </c>
      <c r="Q136" s="409">
        <v>0</v>
      </c>
      <c r="R136" s="409">
        <v>0</v>
      </c>
      <c r="S136" s="409">
        <v>0</v>
      </c>
      <c r="T136" s="409">
        <v>0</v>
      </c>
      <c r="U136" s="900">
        <v>0</v>
      </c>
      <c r="V136" s="821"/>
      <c r="W136" s="403"/>
      <c r="X136" s="403"/>
      <c r="Y136" s="571" t="s">
        <v>838</v>
      </c>
    </row>
    <row r="137" spans="1:25" ht="22.5" customHeight="1" thickTop="1" thickBot="1">
      <c r="A137" s="403" t="s">
        <v>835</v>
      </c>
      <c r="B137" s="403" t="s">
        <v>839</v>
      </c>
      <c r="C137" s="399" t="s">
        <v>852</v>
      </c>
      <c r="D137" s="399" t="s">
        <v>907</v>
      </c>
      <c r="E137" s="403" t="s">
        <v>839</v>
      </c>
      <c r="F137" s="399" t="s">
        <v>852</v>
      </c>
      <c r="G137" s="399" t="s">
        <v>907</v>
      </c>
      <c r="H137" s="399" t="s">
        <v>907</v>
      </c>
      <c r="I137" s="399"/>
      <c r="J137" s="575" t="s">
        <v>1019</v>
      </c>
      <c r="K137" s="409">
        <v>0</v>
      </c>
      <c r="L137" s="409">
        <v>0</v>
      </c>
      <c r="M137" s="409">
        <v>0</v>
      </c>
      <c r="N137" s="409">
        <f t="shared" si="57"/>
        <v>0</v>
      </c>
      <c r="O137" s="409">
        <v>0</v>
      </c>
      <c r="P137" s="409">
        <v>0</v>
      </c>
      <c r="Q137" s="409">
        <v>0</v>
      </c>
      <c r="R137" s="409">
        <v>0</v>
      </c>
      <c r="S137" s="409">
        <v>0</v>
      </c>
      <c r="T137" s="409">
        <v>0</v>
      </c>
      <c r="U137" s="900">
        <v>0</v>
      </c>
      <c r="V137" s="821"/>
      <c r="W137" s="403"/>
      <c r="X137" s="403"/>
      <c r="Y137" s="571" t="s">
        <v>838</v>
      </c>
    </row>
    <row r="138" spans="1:25" ht="22.5" customHeight="1" thickTop="1" thickBot="1">
      <c r="A138" s="403" t="s">
        <v>835</v>
      </c>
      <c r="B138" s="403" t="s">
        <v>839</v>
      </c>
      <c r="C138" s="399" t="s">
        <v>852</v>
      </c>
      <c r="D138" s="399" t="s">
        <v>907</v>
      </c>
      <c r="E138" s="403" t="s">
        <v>839</v>
      </c>
      <c r="F138" s="399" t="s">
        <v>852</v>
      </c>
      <c r="G138" s="399" t="s">
        <v>930</v>
      </c>
      <c r="H138" s="399" t="s">
        <v>930</v>
      </c>
      <c r="I138" s="399"/>
      <c r="J138" s="578" t="s">
        <v>1020</v>
      </c>
      <c r="K138" s="409">
        <f>SUM(K139:K141)</f>
        <v>0</v>
      </c>
      <c r="L138" s="409">
        <f>SUM(L139:L141)</f>
        <v>0</v>
      </c>
      <c r="M138" s="409">
        <f>SUM(M139:M141)</f>
        <v>0</v>
      </c>
      <c r="N138" s="409">
        <f>SUM(N139:N141)</f>
        <v>0</v>
      </c>
      <c r="O138" s="409">
        <f t="shared" ref="O138:T138" si="60">SUM(O139:O141)</f>
        <v>0</v>
      </c>
      <c r="P138" s="409">
        <f t="shared" si="60"/>
        <v>0</v>
      </c>
      <c r="Q138" s="409">
        <f t="shared" si="60"/>
        <v>0</v>
      </c>
      <c r="R138" s="409">
        <f t="shared" si="60"/>
        <v>0</v>
      </c>
      <c r="S138" s="409">
        <f>SUM(S139:S141)</f>
        <v>0</v>
      </c>
      <c r="T138" s="409">
        <f t="shared" si="60"/>
        <v>0</v>
      </c>
      <c r="U138" s="905">
        <v>0</v>
      </c>
      <c r="V138" s="409"/>
      <c r="W138" s="403"/>
      <c r="X138" s="403"/>
      <c r="Y138" s="571"/>
    </row>
    <row r="139" spans="1:25" ht="22.5" customHeight="1" thickTop="1" thickBot="1">
      <c r="A139" s="403" t="s">
        <v>835</v>
      </c>
      <c r="B139" s="403" t="s">
        <v>839</v>
      </c>
      <c r="C139" s="399" t="s">
        <v>852</v>
      </c>
      <c r="D139" s="399" t="s">
        <v>907</v>
      </c>
      <c r="E139" s="403" t="s">
        <v>839</v>
      </c>
      <c r="F139" s="399" t="s">
        <v>852</v>
      </c>
      <c r="G139" s="399" t="s">
        <v>930</v>
      </c>
      <c r="H139" s="399" t="s">
        <v>930</v>
      </c>
      <c r="I139" s="399" t="s">
        <v>839</v>
      </c>
      <c r="J139" s="579" t="s">
        <v>1021</v>
      </c>
      <c r="K139" s="409"/>
      <c r="L139" s="409"/>
      <c r="M139" s="409"/>
      <c r="N139" s="410">
        <f t="shared" ref="N139:N202" si="61">K139+L139-M139</f>
        <v>0</v>
      </c>
      <c r="O139" s="409"/>
      <c r="P139" s="409"/>
      <c r="Q139" s="409"/>
      <c r="R139" s="409"/>
      <c r="S139" s="410"/>
      <c r="T139" s="409"/>
      <c r="U139" s="897">
        <v>0</v>
      </c>
      <c r="V139" s="821"/>
      <c r="W139" s="403"/>
      <c r="X139" s="403"/>
      <c r="Y139" s="571"/>
    </row>
    <row r="140" spans="1:25" ht="22.5" customHeight="1" thickTop="1" thickBot="1">
      <c r="A140" s="403" t="s">
        <v>835</v>
      </c>
      <c r="B140" s="403" t="s">
        <v>839</v>
      </c>
      <c r="C140" s="399" t="s">
        <v>852</v>
      </c>
      <c r="D140" s="399" t="s">
        <v>907</v>
      </c>
      <c r="E140" s="403" t="s">
        <v>839</v>
      </c>
      <c r="F140" s="399" t="s">
        <v>852</v>
      </c>
      <c r="G140" s="399" t="s">
        <v>930</v>
      </c>
      <c r="H140" s="399" t="s">
        <v>930</v>
      </c>
      <c r="I140" s="399" t="s">
        <v>852</v>
      </c>
      <c r="J140" s="579" t="s">
        <v>1022</v>
      </c>
      <c r="K140" s="409"/>
      <c r="L140" s="409"/>
      <c r="M140" s="409"/>
      <c r="N140" s="410">
        <f t="shared" si="61"/>
        <v>0</v>
      </c>
      <c r="O140" s="409"/>
      <c r="P140" s="409"/>
      <c r="Q140" s="409"/>
      <c r="R140" s="409"/>
      <c r="S140" s="410"/>
      <c r="T140" s="409"/>
      <c r="U140" s="897">
        <v>0</v>
      </c>
      <c r="V140" s="821"/>
      <c r="W140" s="403"/>
      <c r="X140" s="403"/>
      <c r="Y140" s="571"/>
    </row>
    <row r="141" spans="1:25" s="137" customFormat="1" ht="22.5" customHeight="1" thickTop="1" thickBot="1">
      <c r="A141" s="403" t="s">
        <v>835</v>
      </c>
      <c r="B141" s="403" t="s">
        <v>839</v>
      </c>
      <c r="C141" s="399" t="s">
        <v>852</v>
      </c>
      <c r="D141" s="399" t="s">
        <v>907</v>
      </c>
      <c r="E141" s="403" t="s">
        <v>839</v>
      </c>
      <c r="F141" s="399" t="s">
        <v>852</v>
      </c>
      <c r="G141" s="399" t="s">
        <v>930</v>
      </c>
      <c r="H141" s="399" t="s">
        <v>930</v>
      </c>
      <c r="I141" s="399" t="s">
        <v>854</v>
      </c>
      <c r="J141" s="579" t="s">
        <v>1023</v>
      </c>
      <c r="K141" s="409"/>
      <c r="L141" s="409"/>
      <c r="M141" s="409"/>
      <c r="N141" s="410">
        <f t="shared" si="61"/>
        <v>0</v>
      </c>
      <c r="O141" s="409"/>
      <c r="P141" s="409"/>
      <c r="Q141" s="409"/>
      <c r="R141" s="409"/>
      <c r="S141" s="410"/>
      <c r="T141" s="409"/>
      <c r="U141" s="897">
        <v>0</v>
      </c>
      <c r="V141" s="821"/>
      <c r="W141" s="403"/>
      <c r="X141" s="403"/>
      <c r="Y141" s="571"/>
    </row>
    <row r="142" spans="1:25" s="137" customFormat="1" ht="22.5" customHeight="1" thickTop="1" thickBot="1">
      <c r="A142" s="390" t="s">
        <v>835</v>
      </c>
      <c r="B142" s="387" t="s">
        <v>852</v>
      </c>
      <c r="C142" s="387"/>
      <c r="D142" s="387"/>
      <c r="E142" s="387"/>
      <c r="F142" s="387"/>
      <c r="G142" s="387"/>
      <c r="H142" s="388"/>
      <c r="I142" s="388"/>
      <c r="J142" s="572" t="s">
        <v>1024</v>
      </c>
      <c r="K142" s="389">
        <f t="shared" ref="K142:S142" si="62">+K143+K152+K189+K195+K214+K244+K257</f>
        <v>11244153.42</v>
      </c>
      <c r="L142" s="389">
        <f t="shared" si="62"/>
        <v>2387160427</v>
      </c>
      <c r="M142" s="389">
        <f t="shared" si="62"/>
        <v>0</v>
      </c>
      <c r="N142" s="389">
        <f t="shared" si="62"/>
        <v>2398404580.4200001</v>
      </c>
      <c r="O142" s="389">
        <f t="shared" si="62"/>
        <v>0</v>
      </c>
      <c r="P142" s="389">
        <f t="shared" si="62"/>
        <v>2387160427</v>
      </c>
      <c r="Q142" s="389">
        <f t="shared" si="62"/>
        <v>11244153.42</v>
      </c>
      <c r="R142" s="389">
        <f t="shared" si="62"/>
        <v>0</v>
      </c>
      <c r="S142" s="389">
        <f t="shared" si="62"/>
        <v>0</v>
      </c>
      <c r="T142" s="389">
        <f>+T143+T152+T189+T195+T214+T244+T257</f>
        <v>602389027.85000002</v>
      </c>
      <c r="U142" s="906">
        <f>+T142/N142*100</f>
        <v>25.116239051899736</v>
      </c>
      <c r="V142" s="390"/>
      <c r="W142" s="390" t="s">
        <v>1025</v>
      </c>
      <c r="X142" s="390"/>
      <c r="Y142" s="571" t="s">
        <v>838</v>
      </c>
    </row>
    <row r="143" spans="1:25" s="137" customFormat="1" ht="22.5" customHeight="1" thickTop="1" thickBot="1">
      <c r="A143" s="394" t="s">
        <v>835</v>
      </c>
      <c r="B143" s="391" t="s">
        <v>852</v>
      </c>
      <c r="C143" s="391" t="s">
        <v>839</v>
      </c>
      <c r="D143" s="391"/>
      <c r="E143" s="391"/>
      <c r="F143" s="391"/>
      <c r="G143" s="391"/>
      <c r="H143" s="392"/>
      <c r="I143" s="392"/>
      <c r="J143" s="573" t="s">
        <v>1026</v>
      </c>
      <c r="K143" s="393">
        <f>+K144</f>
        <v>0</v>
      </c>
      <c r="L143" s="393">
        <f>+L144</f>
        <v>0</v>
      </c>
      <c r="M143" s="393">
        <f>+M144</f>
        <v>0</v>
      </c>
      <c r="N143" s="393">
        <f t="shared" si="61"/>
        <v>0</v>
      </c>
      <c r="O143" s="393">
        <f t="shared" ref="O143:T143" si="63">+O144</f>
        <v>0</v>
      </c>
      <c r="P143" s="393">
        <f t="shared" si="63"/>
        <v>0</v>
      </c>
      <c r="Q143" s="393">
        <f t="shared" si="63"/>
        <v>0</v>
      </c>
      <c r="R143" s="393">
        <f t="shared" si="63"/>
        <v>0</v>
      </c>
      <c r="S143" s="393">
        <f>+S144</f>
        <v>0</v>
      </c>
      <c r="T143" s="393">
        <f t="shared" si="63"/>
        <v>0</v>
      </c>
      <c r="U143" s="907">
        <v>0</v>
      </c>
      <c r="V143" s="391"/>
      <c r="W143" s="394" t="s">
        <v>1027</v>
      </c>
      <c r="X143" s="391"/>
      <c r="Y143" s="571" t="s">
        <v>838</v>
      </c>
    </row>
    <row r="144" spans="1:25" s="137" customFormat="1" ht="22.5" customHeight="1" thickTop="1" thickBot="1">
      <c r="A144" s="398" t="s">
        <v>835</v>
      </c>
      <c r="B144" s="395" t="s">
        <v>852</v>
      </c>
      <c r="C144" s="395" t="s">
        <v>839</v>
      </c>
      <c r="D144" s="395" t="s">
        <v>839</v>
      </c>
      <c r="E144" s="395"/>
      <c r="F144" s="395"/>
      <c r="G144" s="395"/>
      <c r="H144" s="396"/>
      <c r="I144" s="396"/>
      <c r="J144" s="574" t="s">
        <v>1028</v>
      </c>
      <c r="K144" s="397">
        <f>+K145+K150</f>
        <v>0</v>
      </c>
      <c r="L144" s="397">
        <f>+L145+L150</f>
        <v>0</v>
      </c>
      <c r="M144" s="397">
        <f>+M145+M150</f>
        <v>0</v>
      </c>
      <c r="N144" s="397">
        <f t="shared" si="61"/>
        <v>0</v>
      </c>
      <c r="O144" s="397">
        <f t="shared" ref="O144:T144" si="64">+O145+O150</f>
        <v>0</v>
      </c>
      <c r="P144" s="397">
        <f t="shared" si="64"/>
        <v>0</v>
      </c>
      <c r="Q144" s="397">
        <f t="shared" si="64"/>
        <v>0</v>
      </c>
      <c r="R144" s="397">
        <f t="shared" si="64"/>
        <v>0</v>
      </c>
      <c r="S144" s="397">
        <f>+S145+S150</f>
        <v>0</v>
      </c>
      <c r="T144" s="397">
        <f t="shared" si="64"/>
        <v>0</v>
      </c>
      <c r="U144" s="903">
        <v>0</v>
      </c>
      <c r="V144" s="395"/>
      <c r="W144" s="398" t="s">
        <v>1029</v>
      </c>
      <c r="X144" s="398"/>
      <c r="Y144" s="571" t="s">
        <v>838</v>
      </c>
    </row>
    <row r="145" spans="1:25" ht="22.5" customHeight="1" thickTop="1" thickBot="1">
      <c r="A145" s="401" t="s">
        <v>835</v>
      </c>
      <c r="B145" s="821" t="s">
        <v>852</v>
      </c>
      <c r="C145" s="821" t="s">
        <v>839</v>
      </c>
      <c r="D145" s="821" t="s">
        <v>839</v>
      </c>
      <c r="E145" s="821" t="s">
        <v>839</v>
      </c>
      <c r="F145" s="821"/>
      <c r="G145" s="821"/>
      <c r="H145" s="399"/>
      <c r="I145" s="399"/>
      <c r="J145" s="575" t="s">
        <v>1030</v>
      </c>
      <c r="K145" s="400">
        <f>+K146+K147+K148</f>
        <v>0</v>
      </c>
      <c r="L145" s="400">
        <f>+L146+L147+L148</f>
        <v>0</v>
      </c>
      <c r="M145" s="400">
        <f>+M146+M147+M148</f>
        <v>0</v>
      </c>
      <c r="N145" s="400">
        <f t="shared" si="61"/>
        <v>0</v>
      </c>
      <c r="O145" s="400">
        <f t="shared" ref="O145:T145" si="65">+O146+O147+O148</f>
        <v>0</v>
      </c>
      <c r="P145" s="400">
        <f t="shared" si="65"/>
        <v>0</v>
      </c>
      <c r="Q145" s="400">
        <f t="shared" si="65"/>
        <v>0</v>
      </c>
      <c r="R145" s="400">
        <f t="shared" si="65"/>
        <v>0</v>
      </c>
      <c r="S145" s="400">
        <f>+S146+S147+S148</f>
        <v>0</v>
      </c>
      <c r="T145" s="400">
        <f t="shared" si="65"/>
        <v>0</v>
      </c>
      <c r="U145" s="900">
        <v>0</v>
      </c>
      <c r="V145" s="821"/>
      <c r="W145" s="401" t="s">
        <v>1031</v>
      </c>
      <c r="X145" s="401"/>
      <c r="Y145" s="571" t="s">
        <v>838</v>
      </c>
    </row>
    <row r="146" spans="1:25" ht="22.5" customHeight="1" thickTop="1" thickBot="1">
      <c r="A146" s="403" t="s">
        <v>835</v>
      </c>
      <c r="B146" s="399" t="s">
        <v>852</v>
      </c>
      <c r="C146" s="399" t="s">
        <v>839</v>
      </c>
      <c r="D146" s="399" t="s">
        <v>839</v>
      </c>
      <c r="E146" s="399" t="s">
        <v>839</v>
      </c>
      <c r="F146" s="821" t="s">
        <v>839</v>
      </c>
      <c r="G146" s="399"/>
      <c r="H146" s="399"/>
      <c r="I146" s="399"/>
      <c r="J146" s="576" t="s">
        <v>1032</v>
      </c>
      <c r="K146" s="402"/>
      <c r="L146" s="402"/>
      <c r="M146" s="402"/>
      <c r="N146" s="402">
        <f t="shared" si="61"/>
        <v>0</v>
      </c>
      <c r="O146" s="402"/>
      <c r="P146" s="402"/>
      <c r="Q146" s="402"/>
      <c r="R146" s="402"/>
      <c r="S146" s="402"/>
      <c r="T146" s="402"/>
      <c r="U146" s="897">
        <v>0</v>
      </c>
      <c r="V146" s="821"/>
      <c r="W146" s="403" t="s">
        <v>1033</v>
      </c>
      <c r="X146" s="403"/>
      <c r="Y146" s="571" t="s">
        <v>838</v>
      </c>
    </row>
    <row r="147" spans="1:25" ht="22.5" customHeight="1" thickTop="1" thickBot="1">
      <c r="A147" s="403" t="s">
        <v>835</v>
      </c>
      <c r="B147" s="399" t="s">
        <v>852</v>
      </c>
      <c r="C147" s="399" t="s">
        <v>839</v>
      </c>
      <c r="D147" s="399" t="s">
        <v>839</v>
      </c>
      <c r="E147" s="399" t="s">
        <v>839</v>
      </c>
      <c r="F147" s="821" t="s">
        <v>852</v>
      </c>
      <c r="G147" s="399"/>
      <c r="H147" s="399"/>
      <c r="I147" s="399"/>
      <c r="J147" s="576" t="s">
        <v>1034</v>
      </c>
      <c r="K147" s="402"/>
      <c r="L147" s="402"/>
      <c r="M147" s="402"/>
      <c r="N147" s="402">
        <f t="shared" si="61"/>
        <v>0</v>
      </c>
      <c r="O147" s="402"/>
      <c r="P147" s="402"/>
      <c r="Q147" s="402"/>
      <c r="R147" s="402"/>
      <c r="S147" s="402"/>
      <c r="T147" s="402"/>
      <c r="U147" s="897">
        <v>0</v>
      </c>
      <c r="V147" s="821"/>
      <c r="W147" s="403" t="s">
        <v>1035</v>
      </c>
      <c r="X147" s="403"/>
      <c r="Y147" s="571" t="s">
        <v>838</v>
      </c>
    </row>
    <row r="148" spans="1:25" ht="22.5" customHeight="1" thickTop="1" thickBot="1">
      <c r="A148" s="403" t="s">
        <v>835</v>
      </c>
      <c r="B148" s="399" t="s">
        <v>852</v>
      </c>
      <c r="C148" s="399" t="s">
        <v>839</v>
      </c>
      <c r="D148" s="399" t="s">
        <v>839</v>
      </c>
      <c r="E148" s="399" t="s">
        <v>839</v>
      </c>
      <c r="F148" s="821" t="s">
        <v>854</v>
      </c>
      <c r="G148" s="399"/>
      <c r="H148" s="399"/>
      <c r="I148" s="399"/>
      <c r="J148" s="576" t="s">
        <v>1036</v>
      </c>
      <c r="K148" s="402">
        <f>+K149</f>
        <v>0</v>
      </c>
      <c r="L148" s="402">
        <f>+L149</f>
        <v>0</v>
      </c>
      <c r="M148" s="402">
        <f>+M149</f>
        <v>0</v>
      </c>
      <c r="N148" s="402">
        <f t="shared" si="61"/>
        <v>0</v>
      </c>
      <c r="O148" s="402">
        <f t="shared" ref="O148:T148" si="66">+O149</f>
        <v>0</v>
      </c>
      <c r="P148" s="402">
        <f t="shared" si="66"/>
        <v>0</v>
      </c>
      <c r="Q148" s="402">
        <f t="shared" si="66"/>
        <v>0</v>
      </c>
      <c r="R148" s="402">
        <f t="shared" si="66"/>
        <v>0</v>
      </c>
      <c r="S148" s="402">
        <f>+S149</f>
        <v>0</v>
      </c>
      <c r="T148" s="402">
        <f t="shared" si="66"/>
        <v>0</v>
      </c>
      <c r="U148" s="897">
        <v>0</v>
      </c>
      <c r="V148" s="821"/>
      <c r="W148" s="403" t="s">
        <v>1037</v>
      </c>
      <c r="X148" s="403"/>
      <c r="Y148" s="571" t="s">
        <v>838</v>
      </c>
    </row>
    <row r="149" spans="1:25" s="137" customFormat="1" ht="22.5" customHeight="1" thickTop="1" thickBot="1">
      <c r="A149" s="403" t="s">
        <v>835</v>
      </c>
      <c r="B149" s="399" t="s">
        <v>852</v>
      </c>
      <c r="C149" s="399" t="s">
        <v>839</v>
      </c>
      <c r="D149" s="399" t="s">
        <v>839</v>
      </c>
      <c r="E149" s="399" t="s">
        <v>839</v>
      </c>
      <c r="F149" s="399" t="s">
        <v>854</v>
      </c>
      <c r="G149" s="821" t="s">
        <v>839</v>
      </c>
      <c r="H149" s="399"/>
      <c r="I149" s="399"/>
      <c r="J149" s="576" t="s">
        <v>1038</v>
      </c>
      <c r="K149" s="400"/>
      <c r="L149" s="400"/>
      <c r="M149" s="400"/>
      <c r="N149" s="400">
        <f t="shared" si="61"/>
        <v>0</v>
      </c>
      <c r="O149" s="400"/>
      <c r="P149" s="400"/>
      <c r="Q149" s="400"/>
      <c r="R149" s="400"/>
      <c r="S149" s="400"/>
      <c r="T149" s="400"/>
      <c r="U149" s="900">
        <v>0</v>
      </c>
      <c r="V149" s="821"/>
      <c r="W149" s="403" t="s">
        <v>1039</v>
      </c>
      <c r="X149" s="403"/>
      <c r="Y149" s="571" t="s">
        <v>838</v>
      </c>
    </row>
    <row r="150" spans="1:25" ht="22.5" customHeight="1" thickTop="1" thickBot="1">
      <c r="A150" s="401" t="s">
        <v>835</v>
      </c>
      <c r="B150" s="821" t="s">
        <v>852</v>
      </c>
      <c r="C150" s="821" t="s">
        <v>839</v>
      </c>
      <c r="D150" s="821" t="s">
        <v>839</v>
      </c>
      <c r="E150" s="821" t="s">
        <v>852</v>
      </c>
      <c r="F150" s="821"/>
      <c r="G150" s="821"/>
      <c r="H150" s="399"/>
      <c r="I150" s="399"/>
      <c r="J150" s="575" t="s">
        <v>1040</v>
      </c>
      <c r="K150" s="400">
        <f>+K151</f>
        <v>0</v>
      </c>
      <c r="L150" s="400">
        <f>+L151</f>
        <v>0</v>
      </c>
      <c r="M150" s="400">
        <f>+M151</f>
        <v>0</v>
      </c>
      <c r="N150" s="400">
        <f t="shared" si="61"/>
        <v>0</v>
      </c>
      <c r="O150" s="400">
        <f t="shared" ref="O150:T150" si="67">+O151</f>
        <v>0</v>
      </c>
      <c r="P150" s="400">
        <f t="shared" si="67"/>
        <v>0</v>
      </c>
      <c r="Q150" s="400">
        <f t="shared" si="67"/>
        <v>0</v>
      </c>
      <c r="R150" s="400">
        <f t="shared" si="67"/>
        <v>0</v>
      </c>
      <c r="S150" s="400">
        <f>+S151</f>
        <v>0</v>
      </c>
      <c r="T150" s="400">
        <f t="shared" si="67"/>
        <v>0</v>
      </c>
      <c r="U150" s="900">
        <v>0</v>
      </c>
      <c r="V150" s="821"/>
      <c r="W150" s="401" t="s">
        <v>1041</v>
      </c>
      <c r="X150" s="401"/>
      <c r="Y150" s="571" t="s">
        <v>838</v>
      </c>
    </row>
    <row r="151" spans="1:25" s="137" customFormat="1" ht="22.5" customHeight="1" thickTop="1" thickBot="1">
      <c r="A151" s="403" t="s">
        <v>835</v>
      </c>
      <c r="B151" s="399" t="s">
        <v>852</v>
      </c>
      <c r="C151" s="399" t="s">
        <v>839</v>
      </c>
      <c r="D151" s="399" t="s">
        <v>839</v>
      </c>
      <c r="E151" s="399" t="s">
        <v>852</v>
      </c>
      <c r="F151" s="821" t="s">
        <v>839</v>
      </c>
      <c r="G151" s="399"/>
      <c r="H151" s="399"/>
      <c r="I151" s="399"/>
      <c r="J151" s="576" t="s">
        <v>1042</v>
      </c>
      <c r="K151" s="402"/>
      <c r="L151" s="402"/>
      <c r="M151" s="402"/>
      <c r="N151" s="402">
        <f t="shared" si="61"/>
        <v>0</v>
      </c>
      <c r="O151" s="402"/>
      <c r="P151" s="402"/>
      <c r="Q151" s="402"/>
      <c r="R151" s="402"/>
      <c r="S151" s="402"/>
      <c r="T151" s="402"/>
      <c r="U151" s="897">
        <v>0</v>
      </c>
      <c r="V151" s="821"/>
      <c r="W151" s="403" t="s">
        <v>1043</v>
      </c>
      <c r="X151" s="403"/>
      <c r="Y151" s="571" t="s">
        <v>838</v>
      </c>
    </row>
    <row r="152" spans="1:25" s="137" customFormat="1" ht="22.5" customHeight="1" thickTop="1" thickBot="1">
      <c r="A152" s="394" t="s">
        <v>835</v>
      </c>
      <c r="B152" s="391" t="s">
        <v>852</v>
      </c>
      <c r="C152" s="391" t="s">
        <v>852</v>
      </c>
      <c r="D152" s="391"/>
      <c r="E152" s="391"/>
      <c r="F152" s="391"/>
      <c r="G152" s="391"/>
      <c r="H152" s="392"/>
      <c r="I152" s="392"/>
      <c r="J152" s="573" t="s">
        <v>1044</v>
      </c>
      <c r="K152" s="411">
        <f t="shared" ref="K152:T152" si="68">+K153+K154+K171+K187+K188</f>
        <v>11244153.42</v>
      </c>
      <c r="L152" s="411">
        <f t="shared" si="68"/>
        <v>0</v>
      </c>
      <c r="M152" s="411">
        <f t="shared" si="68"/>
        <v>0</v>
      </c>
      <c r="N152" s="411">
        <f t="shared" si="68"/>
        <v>11244153.42</v>
      </c>
      <c r="O152" s="411">
        <f t="shared" si="68"/>
        <v>0</v>
      </c>
      <c r="P152" s="411">
        <f t="shared" si="68"/>
        <v>0</v>
      </c>
      <c r="Q152" s="411">
        <f t="shared" si="68"/>
        <v>11244153.42</v>
      </c>
      <c r="R152" s="411">
        <f t="shared" si="68"/>
        <v>0</v>
      </c>
      <c r="S152" s="411">
        <f t="shared" si="68"/>
        <v>0</v>
      </c>
      <c r="T152" s="411">
        <f t="shared" si="68"/>
        <v>555227600.85000002</v>
      </c>
      <c r="U152" s="411">
        <f>+T152/N152*100</f>
        <v>4937.9226706602512</v>
      </c>
      <c r="V152" s="391"/>
      <c r="W152" s="391" t="s">
        <v>1045</v>
      </c>
      <c r="X152" s="391"/>
      <c r="Y152" s="571" t="s">
        <v>838</v>
      </c>
    </row>
    <row r="153" spans="1:25" s="137" customFormat="1" ht="22.5" customHeight="1" thickTop="1" thickBot="1">
      <c r="A153" s="398" t="s">
        <v>835</v>
      </c>
      <c r="B153" s="395" t="s">
        <v>852</v>
      </c>
      <c r="C153" s="395" t="s">
        <v>852</v>
      </c>
      <c r="D153" s="395" t="s">
        <v>839</v>
      </c>
      <c r="E153" s="395"/>
      <c r="F153" s="395"/>
      <c r="G153" s="395"/>
      <c r="H153" s="396"/>
      <c r="I153" s="396"/>
      <c r="J153" s="574" t="s">
        <v>1046</v>
      </c>
      <c r="K153" s="406"/>
      <c r="L153" s="406"/>
      <c r="M153" s="406"/>
      <c r="N153" s="406">
        <f t="shared" si="61"/>
        <v>0</v>
      </c>
      <c r="O153" s="406"/>
      <c r="P153" s="406"/>
      <c r="Q153" s="406"/>
      <c r="R153" s="406"/>
      <c r="S153" s="406"/>
      <c r="T153" s="406"/>
      <c r="U153" s="903">
        <v>0</v>
      </c>
      <c r="V153" s="395"/>
      <c r="W153" s="398" t="s">
        <v>1047</v>
      </c>
      <c r="X153" s="398"/>
      <c r="Y153" s="571" t="s">
        <v>838</v>
      </c>
    </row>
    <row r="154" spans="1:25" s="137" customFormat="1" ht="22.5" customHeight="1" thickTop="1" thickBot="1">
      <c r="A154" s="398" t="s">
        <v>835</v>
      </c>
      <c r="B154" s="395" t="s">
        <v>852</v>
      </c>
      <c r="C154" s="395" t="s">
        <v>852</v>
      </c>
      <c r="D154" s="395" t="s">
        <v>852</v>
      </c>
      <c r="E154" s="395"/>
      <c r="F154" s="395"/>
      <c r="G154" s="395"/>
      <c r="H154" s="396"/>
      <c r="I154" s="396"/>
      <c r="J154" s="574" t="s">
        <v>1048</v>
      </c>
      <c r="K154" s="406">
        <f>+K155+K156+K159+K165+K166+K167+K168+K169</f>
        <v>11244153.42</v>
      </c>
      <c r="L154" s="406">
        <f t="shared" ref="L154:T154" si="69">+L155+L156+L159+L165+L166+L167+L168+L169</f>
        <v>0</v>
      </c>
      <c r="M154" s="406">
        <f t="shared" si="69"/>
        <v>0</v>
      </c>
      <c r="N154" s="406">
        <f t="shared" si="69"/>
        <v>11244153.42</v>
      </c>
      <c r="O154" s="406">
        <f t="shared" si="69"/>
        <v>0</v>
      </c>
      <c r="P154" s="406">
        <f t="shared" si="69"/>
        <v>0</v>
      </c>
      <c r="Q154" s="406">
        <f t="shared" si="69"/>
        <v>11244153.42</v>
      </c>
      <c r="R154" s="406">
        <f t="shared" si="69"/>
        <v>0</v>
      </c>
      <c r="S154" s="406">
        <f t="shared" si="69"/>
        <v>0</v>
      </c>
      <c r="T154" s="406">
        <f t="shared" si="69"/>
        <v>555227600.85000002</v>
      </c>
      <c r="U154" s="406">
        <f>+T154/N154*100</f>
        <v>4937.9226706602512</v>
      </c>
      <c r="V154" s="395"/>
      <c r="W154" s="398" t="s">
        <v>1049</v>
      </c>
      <c r="X154" s="398"/>
      <c r="Y154" s="571" t="s">
        <v>838</v>
      </c>
    </row>
    <row r="155" spans="1:25" ht="22.5" customHeight="1" thickTop="1" thickBot="1">
      <c r="A155" s="401" t="s">
        <v>835</v>
      </c>
      <c r="B155" s="821" t="s">
        <v>852</v>
      </c>
      <c r="C155" s="821" t="s">
        <v>852</v>
      </c>
      <c r="D155" s="821" t="s">
        <v>852</v>
      </c>
      <c r="E155" s="821" t="s">
        <v>839</v>
      </c>
      <c r="F155" s="821"/>
      <c r="G155" s="821"/>
      <c r="H155" s="399"/>
      <c r="I155" s="399"/>
      <c r="J155" s="575" t="s">
        <v>1050</v>
      </c>
      <c r="K155" s="409">
        <f t="shared" ref="K155:R155" si="70">+K156+K157+K158+K159+K165+K166+K171</f>
        <v>0</v>
      </c>
      <c r="L155" s="409">
        <f>+L156+L157+L158+L159+L165+L166+L171</f>
        <v>0</v>
      </c>
      <c r="M155" s="409">
        <f>+M156+M157+M158+M159+M165+M166+M171</f>
        <v>0</v>
      </c>
      <c r="N155" s="409">
        <f t="shared" si="61"/>
        <v>0</v>
      </c>
      <c r="O155" s="409">
        <f t="shared" si="70"/>
        <v>0</v>
      </c>
      <c r="P155" s="409">
        <f t="shared" si="70"/>
        <v>0</v>
      </c>
      <c r="Q155" s="409">
        <f t="shared" si="70"/>
        <v>0</v>
      </c>
      <c r="R155" s="409">
        <f t="shared" si="70"/>
        <v>0</v>
      </c>
      <c r="S155" s="409">
        <f>+S156+S157+S158+S159+S165+S166+S171</f>
        <v>0</v>
      </c>
      <c r="T155" s="409">
        <f>+T156+T157+T158+T159+T165+T166+T171</f>
        <v>0</v>
      </c>
      <c r="U155" s="900">
        <v>0</v>
      </c>
      <c r="V155" s="401"/>
      <c r="W155" s="401" t="s">
        <v>1051</v>
      </c>
      <c r="X155" s="401"/>
      <c r="Y155" s="571" t="s">
        <v>838</v>
      </c>
    </row>
    <row r="156" spans="1:25" ht="22.5" customHeight="1" thickTop="1" thickBot="1">
      <c r="A156" s="403" t="s">
        <v>835</v>
      </c>
      <c r="B156" s="399" t="s">
        <v>852</v>
      </c>
      <c r="C156" s="399" t="s">
        <v>852</v>
      </c>
      <c r="D156" s="399" t="s">
        <v>852</v>
      </c>
      <c r="E156" s="399" t="s">
        <v>839</v>
      </c>
      <c r="F156" s="821" t="s">
        <v>839</v>
      </c>
      <c r="G156" s="399"/>
      <c r="H156" s="399"/>
      <c r="I156" s="399"/>
      <c r="J156" s="575" t="s">
        <v>1052</v>
      </c>
      <c r="K156" s="410"/>
      <c r="L156" s="410"/>
      <c r="M156" s="410"/>
      <c r="N156" s="410">
        <f t="shared" si="61"/>
        <v>0</v>
      </c>
      <c r="O156" s="410"/>
      <c r="P156" s="410"/>
      <c r="Q156" s="410"/>
      <c r="R156" s="410"/>
      <c r="S156" s="410"/>
      <c r="T156" s="410"/>
      <c r="U156" s="897">
        <v>0</v>
      </c>
      <c r="V156" s="403"/>
      <c r="W156" s="403"/>
      <c r="X156" s="403"/>
      <c r="Y156" s="571" t="s">
        <v>838</v>
      </c>
    </row>
    <row r="157" spans="1:25" ht="22.5" customHeight="1" thickTop="1" thickBot="1">
      <c r="A157" s="403" t="s">
        <v>835</v>
      </c>
      <c r="B157" s="399" t="s">
        <v>852</v>
      </c>
      <c r="C157" s="399" t="s">
        <v>852</v>
      </c>
      <c r="D157" s="399" t="s">
        <v>852</v>
      </c>
      <c r="E157" s="399" t="s">
        <v>839</v>
      </c>
      <c r="F157" s="399" t="s">
        <v>839</v>
      </c>
      <c r="G157" s="821" t="s">
        <v>839</v>
      </c>
      <c r="H157" s="399"/>
      <c r="I157" s="399"/>
      <c r="J157" s="576" t="s">
        <v>1053</v>
      </c>
      <c r="K157" s="410"/>
      <c r="L157" s="410"/>
      <c r="M157" s="410"/>
      <c r="N157" s="410">
        <f t="shared" si="61"/>
        <v>0</v>
      </c>
      <c r="O157" s="410"/>
      <c r="P157" s="410"/>
      <c r="Q157" s="410"/>
      <c r="R157" s="410"/>
      <c r="S157" s="410"/>
      <c r="T157" s="410"/>
      <c r="U157" s="897">
        <v>0</v>
      </c>
      <c r="V157" s="403"/>
      <c r="W157" s="403"/>
      <c r="X157" s="403"/>
      <c r="Y157" s="571" t="s">
        <v>838</v>
      </c>
    </row>
    <row r="158" spans="1:25" ht="22.5" customHeight="1" thickTop="1" thickBot="1">
      <c r="A158" s="403" t="s">
        <v>835</v>
      </c>
      <c r="B158" s="399" t="s">
        <v>852</v>
      </c>
      <c r="C158" s="399" t="s">
        <v>852</v>
      </c>
      <c r="D158" s="399" t="s">
        <v>852</v>
      </c>
      <c r="E158" s="399" t="s">
        <v>839</v>
      </c>
      <c r="F158" s="821" t="s">
        <v>852</v>
      </c>
      <c r="G158" s="399"/>
      <c r="H158" s="399"/>
      <c r="I158" s="399"/>
      <c r="J158" s="575" t="s">
        <v>1054</v>
      </c>
      <c r="K158" s="410"/>
      <c r="L158" s="410"/>
      <c r="M158" s="410"/>
      <c r="N158" s="410">
        <f t="shared" si="61"/>
        <v>0</v>
      </c>
      <c r="O158" s="410"/>
      <c r="P158" s="410"/>
      <c r="Q158" s="410"/>
      <c r="R158" s="410"/>
      <c r="S158" s="410"/>
      <c r="T158" s="410"/>
      <c r="U158" s="897">
        <v>0</v>
      </c>
      <c r="V158" s="403"/>
      <c r="W158" s="403"/>
      <c r="X158" s="403"/>
      <c r="Y158" s="571" t="s">
        <v>838</v>
      </c>
    </row>
    <row r="159" spans="1:25" ht="22.5" customHeight="1" thickTop="1" thickBot="1">
      <c r="A159" s="403" t="s">
        <v>835</v>
      </c>
      <c r="B159" s="399" t="s">
        <v>852</v>
      </c>
      <c r="C159" s="399" t="s">
        <v>852</v>
      </c>
      <c r="D159" s="399" t="s">
        <v>852</v>
      </c>
      <c r="E159" s="399" t="s">
        <v>839</v>
      </c>
      <c r="F159" s="821" t="s">
        <v>854</v>
      </c>
      <c r="G159" s="399"/>
      <c r="H159" s="399"/>
      <c r="I159" s="399"/>
      <c r="J159" s="575" t="s">
        <v>1055</v>
      </c>
      <c r="K159" s="409">
        <f>SUM(K160:K164)</f>
        <v>0</v>
      </c>
      <c r="L159" s="409">
        <f>SUM(L160:L164)</f>
        <v>0</v>
      </c>
      <c r="M159" s="409">
        <f>SUM(M160:M164)</f>
        <v>0</v>
      </c>
      <c r="N159" s="409">
        <f t="shared" si="61"/>
        <v>0</v>
      </c>
      <c r="O159" s="409">
        <f t="shared" ref="O159:T159" si="71">SUM(O160:O164)</f>
        <v>0</v>
      </c>
      <c r="P159" s="409">
        <f t="shared" si="71"/>
        <v>0</v>
      </c>
      <c r="Q159" s="409">
        <f t="shared" si="71"/>
        <v>0</v>
      </c>
      <c r="R159" s="409">
        <f t="shared" si="71"/>
        <v>0</v>
      </c>
      <c r="S159" s="409">
        <f>SUM(S160:S164)</f>
        <v>0</v>
      </c>
      <c r="T159" s="409">
        <f t="shared" si="71"/>
        <v>0</v>
      </c>
      <c r="U159" s="900">
        <v>0</v>
      </c>
      <c r="V159" s="403"/>
      <c r="W159" s="403"/>
      <c r="X159" s="403"/>
      <c r="Y159" s="571" t="s">
        <v>838</v>
      </c>
    </row>
    <row r="160" spans="1:25" ht="22.5" customHeight="1" thickTop="1" thickBot="1">
      <c r="A160" s="403" t="s">
        <v>835</v>
      </c>
      <c r="B160" s="399" t="s">
        <v>852</v>
      </c>
      <c r="C160" s="399" t="s">
        <v>852</v>
      </c>
      <c r="D160" s="399" t="s">
        <v>852</v>
      </c>
      <c r="E160" s="399" t="s">
        <v>839</v>
      </c>
      <c r="F160" s="399" t="s">
        <v>854</v>
      </c>
      <c r="G160" s="821" t="s">
        <v>839</v>
      </c>
      <c r="H160" s="399"/>
      <c r="I160" s="399"/>
      <c r="J160" s="576" t="s">
        <v>1056</v>
      </c>
      <c r="K160" s="410"/>
      <c r="L160" s="410"/>
      <c r="M160" s="410"/>
      <c r="N160" s="410">
        <f t="shared" si="61"/>
        <v>0</v>
      </c>
      <c r="O160" s="410"/>
      <c r="P160" s="410"/>
      <c r="Q160" s="410"/>
      <c r="R160" s="410"/>
      <c r="S160" s="410"/>
      <c r="T160" s="410"/>
      <c r="U160" s="897">
        <v>0</v>
      </c>
      <c r="V160" s="403"/>
      <c r="W160" s="403"/>
      <c r="X160" s="403"/>
      <c r="Y160" s="571" t="s">
        <v>838</v>
      </c>
    </row>
    <row r="161" spans="1:25" ht="22.5" customHeight="1" thickTop="1" thickBot="1">
      <c r="A161" s="403" t="s">
        <v>835</v>
      </c>
      <c r="B161" s="399" t="s">
        <v>852</v>
      </c>
      <c r="C161" s="399" t="s">
        <v>852</v>
      </c>
      <c r="D161" s="399" t="s">
        <v>852</v>
      </c>
      <c r="E161" s="399" t="s">
        <v>839</v>
      </c>
      <c r="F161" s="399" t="s">
        <v>854</v>
      </c>
      <c r="G161" s="821" t="s">
        <v>852</v>
      </c>
      <c r="H161" s="399"/>
      <c r="I161" s="399"/>
      <c r="J161" s="576" t="s">
        <v>1057</v>
      </c>
      <c r="K161" s="410"/>
      <c r="L161" s="410"/>
      <c r="M161" s="410"/>
      <c r="N161" s="410">
        <f t="shared" si="61"/>
        <v>0</v>
      </c>
      <c r="O161" s="410"/>
      <c r="P161" s="410"/>
      <c r="Q161" s="410"/>
      <c r="R161" s="410"/>
      <c r="S161" s="410"/>
      <c r="T161" s="410"/>
      <c r="U161" s="897">
        <v>0</v>
      </c>
      <c r="V161" s="403"/>
      <c r="W161" s="403"/>
      <c r="X161" s="403"/>
      <c r="Y161" s="571" t="s">
        <v>838</v>
      </c>
    </row>
    <row r="162" spans="1:25" ht="22.5" customHeight="1" thickTop="1" thickBot="1">
      <c r="A162" s="403" t="s">
        <v>835</v>
      </c>
      <c r="B162" s="399" t="s">
        <v>852</v>
      </c>
      <c r="C162" s="399" t="s">
        <v>852</v>
      </c>
      <c r="D162" s="399" t="s">
        <v>852</v>
      </c>
      <c r="E162" s="399" t="s">
        <v>839</v>
      </c>
      <c r="F162" s="399" t="s">
        <v>854</v>
      </c>
      <c r="G162" s="821" t="s">
        <v>854</v>
      </c>
      <c r="H162" s="399"/>
      <c r="I162" s="399"/>
      <c r="J162" s="576" t="s">
        <v>1058</v>
      </c>
      <c r="K162" s="410"/>
      <c r="L162" s="410"/>
      <c r="M162" s="410"/>
      <c r="N162" s="410">
        <f t="shared" si="61"/>
        <v>0</v>
      </c>
      <c r="O162" s="410"/>
      <c r="P162" s="410"/>
      <c r="Q162" s="410"/>
      <c r="R162" s="410"/>
      <c r="S162" s="410"/>
      <c r="T162" s="410"/>
      <c r="U162" s="897">
        <v>0</v>
      </c>
      <c r="V162" s="403"/>
      <c r="W162" s="403"/>
      <c r="X162" s="403"/>
      <c r="Y162" s="571" t="s">
        <v>838</v>
      </c>
    </row>
    <row r="163" spans="1:25" ht="22.5" customHeight="1" thickTop="1" thickBot="1">
      <c r="A163" s="403" t="s">
        <v>835</v>
      </c>
      <c r="B163" s="399" t="s">
        <v>852</v>
      </c>
      <c r="C163" s="399" t="s">
        <v>852</v>
      </c>
      <c r="D163" s="399" t="s">
        <v>852</v>
      </c>
      <c r="E163" s="399" t="s">
        <v>839</v>
      </c>
      <c r="F163" s="399" t="s">
        <v>854</v>
      </c>
      <c r="G163" s="821" t="s">
        <v>856</v>
      </c>
      <c r="H163" s="399"/>
      <c r="I163" s="399"/>
      <c r="J163" s="576" t="s">
        <v>1059</v>
      </c>
      <c r="K163" s="410"/>
      <c r="L163" s="410"/>
      <c r="M163" s="410"/>
      <c r="N163" s="410">
        <f t="shared" si="61"/>
        <v>0</v>
      </c>
      <c r="O163" s="410"/>
      <c r="P163" s="410"/>
      <c r="Q163" s="410"/>
      <c r="R163" s="410"/>
      <c r="S163" s="410"/>
      <c r="T163" s="410"/>
      <c r="U163" s="897">
        <v>0</v>
      </c>
      <c r="V163" s="403"/>
      <c r="W163" s="403"/>
      <c r="X163" s="403"/>
      <c r="Y163" s="571" t="s">
        <v>838</v>
      </c>
    </row>
    <row r="164" spans="1:25" ht="22.5" customHeight="1" thickTop="1" thickBot="1">
      <c r="A164" s="403" t="s">
        <v>835</v>
      </c>
      <c r="B164" s="399" t="s">
        <v>852</v>
      </c>
      <c r="C164" s="399" t="s">
        <v>852</v>
      </c>
      <c r="D164" s="399" t="s">
        <v>852</v>
      </c>
      <c r="E164" s="399" t="s">
        <v>839</v>
      </c>
      <c r="F164" s="399" t="s">
        <v>854</v>
      </c>
      <c r="G164" s="821" t="s">
        <v>907</v>
      </c>
      <c r="H164" s="399"/>
      <c r="I164" s="399"/>
      <c r="J164" s="576" t="s">
        <v>1060</v>
      </c>
      <c r="K164" s="410"/>
      <c r="L164" s="410"/>
      <c r="M164" s="410"/>
      <c r="N164" s="410">
        <f t="shared" si="61"/>
        <v>0</v>
      </c>
      <c r="O164" s="410"/>
      <c r="P164" s="410"/>
      <c r="Q164" s="410"/>
      <c r="R164" s="410"/>
      <c r="S164" s="410"/>
      <c r="T164" s="410"/>
      <c r="U164" s="897">
        <v>0</v>
      </c>
      <c r="V164" s="403"/>
      <c r="W164" s="403"/>
      <c r="X164" s="403"/>
      <c r="Y164" s="571" t="s">
        <v>838</v>
      </c>
    </row>
    <row r="165" spans="1:25" ht="22.5" customHeight="1" thickTop="1" thickBot="1">
      <c r="A165" s="403" t="s">
        <v>835</v>
      </c>
      <c r="B165" s="399" t="s">
        <v>852</v>
      </c>
      <c r="C165" s="399" t="s">
        <v>852</v>
      </c>
      <c r="D165" s="399" t="s">
        <v>852</v>
      </c>
      <c r="E165" s="399" t="s">
        <v>839</v>
      </c>
      <c r="F165" s="821" t="s">
        <v>856</v>
      </c>
      <c r="G165" s="399"/>
      <c r="H165" s="399"/>
      <c r="I165" s="399"/>
      <c r="J165" s="575" t="s">
        <v>1061</v>
      </c>
      <c r="K165" s="409"/>
      <c r="L165" s="409"/>
      <c r="M165" s="409"/>
      <c r="N165" s="409">
        <f t="shared" si="61"/>
        <v>0</v>
      </c>
      <c r="O165" s="409"/>
      <c r="P165" s="409"/>
      <c r="Q165" s="409"/>
      <c r="R165" s="409"/>
      <c r="S165" s="409"/>
      <c r="T165" s="409"/>
      <c r="U165" s="900">
        <v>0</v>
      </c>
      <c r="V165" s="403"/>
      <c r="W165" s="403"/>
      <c r="X165" s="403"/>
      <c r="Y165" s="571" t="s">
        <v>838</v>
      </c>
    </row>
    <row r="166" spans="1:25" ht="22.5" customHeight="1" thickTop="1" thickBot="1">
      <c r="A166" s="403" t="s">
        <v>835</v>
      </c>
      <c r="B166" s="399" t="s">
        <v>852</v>
      </c>
      <c r="C166" s="399" t="s">
        <v>852</v>
      </c>
      <c r="D166" s="399" t="s">
        <v>852</v>
      </c>
      <c r="E166" s="399" t="s">
        <v>839</v>
      </c>
      <c r="F166" s="821" t="s">
        <v>907</v>
      </c>
      <c r="G166" s="399"/>
      <c r="H166" s="399"/>
      <c r="I166" s="399"/>
      <c r="J166" s="575" t="s">
        <v>1062</v>
      </c>
      <c r="K166" s="409"/>
      <c r="L166" s="409"/>
      <c r="M166" s="409"/>
      <c r="N166" s="409">
        <f t="shared" si="61"/>
        <v>0</v>
      </c>
      <c r="O166" s="409"/>
      <c r="P166" s="409"/>
      <c r="Q166" s="409"/>
      <c r="R166" s="409"/>
      <c r="S166" s="409"/>
      <c r="T166" s="409"/>
      <c r="U166" s="900">
        <v>0</v>
      </c>
      <c r="V166" s="403"/>
      <c r="W166" s="403"/>
      <c r="X166" s="403"/>
      <c r="Y166" s="571" t="s">
        <v>838</v>
      </c>
    </row>
    <row r="167" spans="1:25" ht="22.5" customHeight="1" thickTop="1" thickBot="1">
      <c r="A167" s="403" t="s">
        <v>835</v>
      </c>
      <c r="B167" s="399" t="s">
        <v>852</v>
      </c>
      <c r="C167" s="399" t="s">
        <v>852</v>
      </c>
      <c r="D167" s="399" t="s">
        <v>852</v>
      </c>
      <c r="E167" s="399" t="s">
        <v>839</v>
      </c>
      <c r="F167" s="821" t="s">
        <v>930</v>
      </c>
      <c r="G167" s="399"/>
      <c r="H167" s="399"/>
      <c r="I167" s="399"/>
      <c r="J167" s="575" t="s">
        <v>1063</v>
      </c>
      <c r="K167" s="409"/>
      <c r="L167" s="409"/>
      <c r="M167" s="409"/>
      <c r="N167" s="409">
        <f t="shared" si="61"/>
        <v>0</v>
      </c>
      <c r="O167" s="409"/>
      <c r="P167" s="409"/>
      <c r="Q167" s="409"/>
      <c r="R167" s="409"/>
      <c r="S167" s="409"/>
      <c r="T167" s="409"/>
      <c r="U167" s="900">
        <v>0</v>
      </c>
      <c r="V167" s="403"/>
      <c r="W167" s="403"/>
      <c r="X167" s="403"/>
      <c r="Y167" s="571"/>
    </row>
    <row r="168" spans="1:25" ht="22.5" customHeight="1" thickTop="1" thickBot="1">
      <c r="A168" s="403" t="s">
        <v>835</v>
      </c>
      <c r="B168" s="399" t="s">
        <v>852</v>
      </c>
      <c r="C168" s="399" t="s">
        <v>852</v>
      </c>
      <c r="D168" s="399" t="s">
        <v>852</v>
      </c>
      <c r="E168" s="399" t="s">
        <v>839</v>
      </c>
      <c r="F168" s="821" t="s">
        <v>934</v>
      </c>
      <c r="G168" s="399"/>
      <c r="H168" s="399"/>
      <c r="I168" s="399"/>
      <c r="J168" s="575" t="s">
        <v>1064</v>
      </c>
      <c r="K168" s="409">
        <v>11244153.42</v>
      </c>
      <c r="L168" s="409"/>
      <c r="M168" s="409"/>
      <c r="N168" s="409">
        <f t="shared" si="61"/>
        <v>11244153.42</v>
      </c>
      <c r="O168" s="409"/>
      <c r="P168" s="409"/>
      <c r="Q168" s="409">
        <f>+N168</f>
        <v>11244153.42</v>
      </c>
      <c r="R168" s="409"/>
      <c r="S168" s="409"/>
      <c r="T168" s="409">
        <v>555227600.85000002</v>
      </c>
      <c r="U168" s="895">
        <f>+T168/N168*100</f>
        <v>4937.9226706602512</v>
      </c>
      <c r="V168" s="403"/>
      <c r="W168" s="403"/>
      <c r="X168" s="403"/>
      <c r="Y168" s="571"/>
    </row>
    <row r="169" spans="1:25" ht="22.5" customHeight="1" thickTop="1" thickBot="1">
      <c r="A169" s="403" t="s">
        <v>835</v>
      </c>
      <c r="B169" s="399" t="s">
        <v>852</v>
      </c>
      <c r="C169" s="399" t="s">
        <v>852</v>
      </c>
      <c r="D169" s="399" t="s">
        <v>852</v>
      </c>
      <c r="E169" s="399" t="s">
        <v>839</v>
      </c>
      <c r="F169" s="399" t="s">
        <v>938</v>
      </c>
      <c r="G169" s="412"/>
      <c r="H169" s="413"/>
      <c r="I169" s="399"/>
      <c r="J169" s="575" t="s">
        <v>1065</v>
      </c>
      <c r="K169" s="407">
        <f>+K170</f>
        <v>0</v>
      </c>
      <c r="L169" s="407">
        <f>+L170</f>
        <v>0</v>
      </c>
      <c r="M169" s="407">
        <f>+M170</f>
        <v>0</v>
      </c>
      <c r="N169" s="407">
        <f t="shared" si="61"/>
        <v>0</v>
      </c>
      <c r="O169" s="407">
        <f t="shared" ref="O169:T169" si="72">+O170</f>
        <v>0</v>
      </c>
      <c r="P169" s="407">
        <f t="shared" si="72"/>
        <v>0</v>
      </c>
      <c r="Q169" s="407">
        <f t="shared" si="72"/>
        <v>0</v>
      </c>
      <c r="R169" s="407">
        <f t="shared" si="72"/>
        <v>0</v>
      </c>
      <c r="S169" s="407">
        <f>+S170</f>
        <v>0</v>
      </c>
      <c r="T169" s="407">
        <f t="shared" si="72"/>
        <v>0</v>
      </c>
      <c r="U169" s="898">
        <v>0</v>
      </c>
      <c r="V169" s="403"/>
      <c r="W169" s="403"/>
      <c r="X169" s="403"/>
      <c r="Y169" s="571"/>
    </row>
    <row r="170" spans="1:25" s="137" customFormat="1" ht="22.5" customHeight="1" thickTop="1" thickBot="1">
      <c r="A170" s="403" t="s">
        <v>835</v>
      </c>
      <c r="B170" s="399" t="s">
        <v>852</v>
      </c>
      <c r="C170" s="399" t="s">
        <v>852</v>
      </c>
      <c r="D170" s="399" t="s">
        <v>852</v>
      </c>
      <c r="E170" s="399" t="s">
        <v>839</v>
      </c>
      <c r="F170" s="399" t="s">
        <v>938</v>
      </c>
      <c r="G170" s="413" t="s">
        <v>839</v>
      </c>
      <c r="H170" s="413"/>
      <c r="I170" s="399"/>
      <c r="J170" s="576" t="s">
        <v>1066</v>
      </c>
      <c r="K170" s="409"/>
      <c r="L170" s="409"/>
      <c r="M170" s="409"/>
      <c r="N170" s="409">
        <f t="shared" si="61"/>
        <v>0</v>
      </c>
      <c r="O170" s="409"/>
      <c r="P170" s="409"/>
      <c r="Q170" s="409"/>
      <c r="R170" s="409"/>
      <c r="S170" s="409"/>
      <c r="T170" s="409"/>
      <c r="U170" s="900">
        <v>0</v>
      </c>
      <c r="V170" s="403"/>
      <c r="W170" s="403"/>
      <c r="X170" s="403"/>
      <c r="Y170" s="571"/>
    </row>
    <row r="171" spans="1:25" s="137" customFormat="1" ht="22.5" customHeight="1" thickTop="1" thickBot="1">
      <c r="A171" s="398" t="s">
        <v>835</v>
      </c>
      <c r="B171" s="395" t="s">
        <v>852</v>
      </c>
      <c r="C171" s="395" t="s">
        <v>852</v>
      </c>
      <c r="D171" s="395" t="s">
        <v>854</v>
      </c>
      <c r="E171" s="395"/>
      <c r="F171" s="395"/>
      <c r="G171" s="395"/>
      <c r="H171" s="396"/>
      <c r="I171" s="396"/>
      <c r="J171" s="574" t="s">
        <v>1067</v>
      </c>
      <c r="K171" s="406">
        <f>+K172+K176+K177+K178+K179+K180+K181+K182+K183+K184+K185+K186</f>
        <v>0</v>
      </c>
      <c r="L171" s="406">
        <f>+L172+L176+L177+L178+L179+L180+L181+L182+L183+L184+L185+L186</f>
        <v>0</v>
      </c>
      <c r="M171" s="406">
        <f>+M172+M176+M177+M178+M179+M180+M181+M182+M183+M184+M185+M186</f>
        <v>0</v>
      </c>
      <c r="N171" s="406">
        <f t="shared" si="61"/>
        <v>0</v>
      </c>
      <c r="O171" s="406">
        <f t="shared" ref="O171:T171" si="73">+O172+O176+O177+O178+O179+O180+O181+O182+O183+O184+O185+O186</f>
        <v>0</v>
      </c>
      <c r="P171" s="406">
        <f t="shared" si="73"/>
        <v>0</v>
      </c>
      <c r="Q171" s="406">
        <f t="shared" si="73"/>
        <v>0</v>
      </c>
      <c r="R171" s="406">
        <f t="shared" si="73"/>
        <v>0</v>
      </c>
      <c r="S171" s="406">
        <f>+S172+S176+S177+S178+S179+S180+S181+S182+S183+S184+S185+S186</f>
        <v>0</v>
      </c>
      <c r="T171" s="406">
        <f t="shared" si="73"/>
        <v>0</v>
      </c>
      <c r="U171" s="903">
        <v>0</v>
      </c>
      <c r="V171" s="395"/>
      <c r="W171" s="398"/>
      <c r="X171" s="398"/>
      <c r="Y171" s="571" t="s">
        <v>838</v>
      </c>
    </row>
    <row r="172" spans="1:25" ht="22.5" customHeight="1" thickTop="1" thickBot="1">
      <c r="A172" s="401">
        <v>1</v>
      </c>
      <c r="B172" s="821" t="s">
        <v>852</v>
      </c>
      <c r="C172" s="821" t="s">
        <v>852</v>
      </c>
      <c r="D172" s="821" t="s">
        <v>854</v>
      </c>
      <c r="E172" s="821" t="s">
        <v>839</v>
      </c>
      <c r="F172" s="821"/>
      <c r="G172" s="821"/>
      <c r="H172" s="399"/>
      <c r="I172" s="399"/>
      <c r="J172" s="575" t="s">
        <v>1068</v>
      </c>
      <c r="K172" s="407">
        <f>+K173+K174+K175</f>
        <v>0</v>
      </c>
      <c r="L172" s="407">
        <f>+L173+L174+L175</f>
        <v>0</v>
      </c>
      <c r="M172" s="407">
        <f>+M173+M174+M175</f>
        <v>0</v>
      </c>
      <c r="N172" s="407">
        <f t="shared" si="61"/>
        <v>0</v>
      </c>
      <c r="O172" s="407">
        <f t="shared" ref="O172:T172" si="74">+O173+O174+O175</f>
        <v>0</v>
      </c>
      <c r="P172" s="407">
        <f t="shared" si="74"/>
        <v>0</v>
      </c>
      <c r="Q172" s="407">
        <f t="shared" si="74"/>
        <v>0</v>
      </c>
      <c r="R172" s="407">
        <f t="shared" si="74"/>
        <v>0</v>
      </c>
      <c r="S172" s="407">
        <f>+S173+S174+S175</f>
        <v>0</v>
      </c>
      <c r="T172" s="407">
        <f t="shared" si="74"/>
        <v>0</v>
      </c>
      <c r="U172" s="898">
        <v>0</v>
      </c>
      <c r="V172" s="401"/>
      <c r="W172" s="401"/>
      <c r="X172" s="401"/>
      <c r="Y172" s="571"/>
    </row>
    <row r="173" spans="1:25" ht="22.5" customHeight="1" thickTop="1" thickBot="1">
      <c r="A173" s="403">
        <v>1</v>
      </c>
      <c r="B173" s="399" t="s">
        <v>852</v>
      </c>
      <c r="C173" s="399" t="s">
        <v>852</v>
      </c>
      <c r="D173" s="399" t="s">
        <v>854</v>
      </c>
      <c r="E173" s="399" t="s">
        <v>839</v>
      </c>
      <c r="F173" s="821" t="s">
        <v>839</v>
      </c>
      <c r="G173" s="399"/>
      <c r="H173" s="399"/>
      <c r="I173" s="399"/>
      <c r="J173" s="579" t="s">
        <v>1069</v>
      </c>
      <c r="K173" s="407"/>
      <c r="L173" s="407"/>
      <c r="M173" s="407"/>
      <c r="N173" s="407">
        <f t="shared" si="61"/>
        <v>0</v>
      </c>
      <c r="O173" s="407"/>
      <c r="P173" s="407"/>
      <c r="Q173" s="407"/>
      <c r="R173" s="407"/>
      <c r="S173" s="407"/>
      <c r="T173" s="407"/>
      <c r="U173" s="898">
        <v>0</v>
      </c>
      <c r="V173" s="403"/>
      <c r="W173" s="403"/>
      <c r="X173" s="403"/>
      <c r="Y173" s="571"/>
    </row>
    <row r="174" spans="1:25" ht="22.5" customHeight="1" thickTop="1" thickBot="1">
      <c r="A174" s="403">
        <v>1</v>
      </c>
      <c r="B174" s="399" t="s">
        <v>852</v>
      </c>
      <c r="C174" s="399" t="s">
        <v>852</v>
      </c>
      <c r="D174" s="399" t="s">
        <v>854</v>
      </c>
      <c r="E174" s="399" t="s">
        <v>839</v>
      </c>
      <c r="F174" s="821" t="s">
        <v>852</v>
      </c>
      <c r="G174" s="399"/>
      <c r="H174" s="399"/>
      <c r="I174" s="399"/>
      <c r="J174" s="579" t="s">
        <v>1070</v>
      </c>
      <c r="K174" s="407"/>
      <c r="L174" s="407"/>
      <c r="M174" s="407"/>
      <c r="N174" s="407">
        <f t="shared" si="61"/>
        <v>0</v>
      </c>
      <c r="O174" s="407"/>
      <c r="P174" s="407"/>
      <c r="Q174" s="407"/>
      <c r="R174" s="407"/>
      <c r="S174" s="407"/>
      <c r="T174" s="407"/>
      <c r="U174" s="898">
        <v>0</v>
      </c>
      <c r="V174" s="403"/>
      <c r="W174" s="403"/>
      <c r="X174" s="403"/>
      <c r="Y174" s="571"/>
    </row>
    <row r="175" spans="1:25" s="137" customFormat="1" ht="22.5" customHeight="1" thickTop="1" thickBot="1">
      <c r="A175" s="403">
        <v>1</v>
      </c>
      <c r="B175" s="399" t="s">
        <v>852</v>
      </c>
      <c r="C175" s="399" t="s">
        <v>852</v>
      </c>
      <c r="D175" s="399" t="s">
        <v>854</v>
      </c>
      <c r="E175" s="399" t="s">
        <v>839</v>
      </c>
      <c r="F175" s="821" t="s">
        <v>854</v>
      </c>
      <c r="G175" s="399"/>
      <c r="H175" s="399"/>
      <c r="I175" s="399"/>
      <c r="J175" s="579" t="s">
        <v>1071</v>
      </c>
      <c r="K175" s="407"/>
      <c r="L175" s="407"/>
      <c r="M175" s="407"/>
      <c r="N175" s="407">
        <f t="shared" si="61"/>
        <v>0</v>
      </c>
      <c r="O175" s="407"/>
      <c r="P175" s="407"/>
      <c r="Q175" s="407"/>
      <c r="R175" s="407"/>
      <c r="S175" s="407"/>
      <c r="T175" s="407"/>
      <c r="U175" s="898">
        <v>0</v>
      </c>
      <c r="V175" s="403"/>
      <c r="W175" s="403"/>
      <c r="X175" s="403"/>
      <c r="Y175" s="571"/>
    </row>
    <row r="176" spans="1:25" s="137" customFormat="1" ht="22.5" customHeight="1" thickTop="1" thickBot="1">
      <c r="A176" s="401">
        <v>1</v>
      </c>
      <c r="B176" s="821" t="s">
        <v>852</v>
      </c>
      <c r="C176" s="821" t="s">
        <v>852</v>
      </c>
      <c r="D176" s="821" t="s">
        <v>854</v>
      </c>
      <c r="E176" s="821" t="s">
        <v>852</v>
      </c>
      <c r="F176" s="821"/>
      <c r="G176" s="821"/>
      <c r="H176" s="399"/>
      <c r="I176" s="399"/>
      <c r="J176" s="575" t="s">
        <v>1072</v>
      </c>
      <c r="K176" s="409"/>
      <c r="L176" s="409"/>
      <c r="M176" s="409"/>
      <c r="N176" s="409">
        <f t="shared" si="61"/>
        <v>0</v>
      </c>
      <c r="O176" s="409"/>
      <c r="P176" s="409"/>
      <c r="Q176" s="409"/>
      <c r="R176" s="409"/>
      <c r="S176" s="409"/>
      <c r="T176" s="409"/>
      <c r="U176" s="900">
        <v>0</v>
      </c>
      <c r="V176" s="401"/>
      <c r="W176" s="401"/>
      <c r="X176" s="401"/>
      <c r="Y176" s="571" t="s">
        <v>838</v>
      </c>
    </row>
    <row r="177" spans="1:25" s="137" customFormat="1" ht="22.5" customHeight="1" thickTop="1" thickBot="1">
      <c r="A177" s="401" t="s">
        <v>835</v>
      </c>
      <c r="B177" s="821" t="s">
        <v>852</v>
      </c>
      <c r="C177" s="821" t="s">
        <v>852</v>
      </c>
      <c r="D177" s="821" t="s">
        <v>854</v>
      </c>
      <c r="E177" s="821" t="s">
        <v>854</v>
      </c>
      <c r="F177" s="821"/>
      <c r="G177" s="821"/>
      <c r="H177" s="399"/>
      <c r="I177" s="399"/>
      <c r="J177" s="575" t="s">
        <v>1073</v>
      </c>
      <c r="K177" s="409"/>
      <c r="L177" s="409"/>
      <c r="M177" s="409"/>
      <c r="N177" s="409">
        <f t="shared" si="61"/>
        <v>0</v>
      </c>
      <c r="O177" s="409"/>
      <c r="P177" s="409"/>
      <c r="Q177" s="409"/>
      <c r="R177" s="409"/>
      <c r="S177" s="409"/>
      <c r="T177" s="409"/>
      <c r="U177" s="900">
        <v>0</v>
      </c>
      <c r="V177" s="401"/>
      <c r="W177" s="401"/>
      <c r="X177" s="401"/>
      <c r="Y177" s="571" t="s">
        <v>838</v>
      </c>
    </row>
    <row r="178" spans="1:25" s="137" customFormat="1" ht="22.5" customHeight="1" thickTop="1" thickBot="1">
      <c r="A178" s="401" t="s">
        <v>835</v>
      </c>
      <c r="B178" s="821" t="s">
        <v>852</v>
      </c>
      <c r="C178" s="821" t="s">
        <v>852</v>
      </c>
      <c r="D178" s="821" t="s">
        <v>854</v>
      </c>
      <c r="E178" s="821" t="s">
        <v>856</v>
      </c>
      <c r="F178" s="821"/>
      <c r="G178" s="821"/>
      <c r="H178" s="399"/>
      <c r="I178" s="399"/>
      <c r="J178" s="575" t="s">
        <v>1074</v>
      </c>
      <c r="K178" s="409"/>
      <c r="L178" s="409"/>
      <c r="M178" s="409"/>
      <c r="N178" s="409">
        <f t="shared" si="61"/>
        <v>0</v>
      </c>
      <c r="O178" s="409"/>
      <c r="P178" s="409"/>
      <c r="Q178" s="409"/>
      <c r="R178" s="409"/>
      <c r="S178" s="409"/>
      <c r="T178" s="409"/>
      <c r="U178" s="900">
        <v>0</v>
      </c>
      <c r="V178" s="401"/>
      <c r="W178" s="401"/>
      <c r="X178" s="401"/>
      <c r="Y178" s="571" t="s">
        <v>838</v>
      </c>
    </row>
    <row r="179" spans="1:25" s="137" customFormat="1" ht="22.5" customHeight="1" thickTop="1" thickBot="1">
      <c r="A179" s="401" t="s">
        <v>835</v>
      </c>
      <c r="B179" s="821" t="s">
        <v>852</v>
      </c>
      <c r="C179" s="821" t="s">
        <v>852</v>
      </c>
      <c r="D179" s="821" t="s">
        <v>854</v>
      </c>
      <c r="E179" s="821" t="s">
        <v>907</v>
      </c>
      <c r="F179" s="821"/>
      <c r="G179" s="821"/>
      <c r="H179" s="399"/>
      <c r="I179" s="399"/>
      <c r="J179" s="575" t="s">
        <v>1075</v>
      </c>
      <c r="K179" s="409"/>
      <c r="L179" s="409"/>
      <c r="M179" s="409"/>
      <c r="N179" s="409">
        <f t="shared" si="61"/>
        <v>0</v>
      </c>
      <c r="O179" s="409"/>
      <c r="P179" s="409"/>
      <c r="Q179" s="409"/>
      <c r="R179" s="409"/>
      <c r="S179" s="409"/>
      <c r="T179" s="409"/>
      <c r="U179" s="900">
        <v>0</v>
      </c>
      <c r="V179" s="401"/>
      <c r="W179" s="401"/>
      <c r="X179" s="401"/>
      <c r="Y179" s="571" t="s">
        <v>838</v>
      </c>
    </row>
    <row r="180" spans="1:25" s="137" customFormat="1" ht="22.5" customHeight="1" thickTop="1" thickBot="1">
      <c r="A180" s="401" t="s">
        <v>835</v>
      </c>
      <c r="B180" s="821" t="s">
        <v>852</v>
      </c>
      <c r="C180" s="821" t="s">
        <v>852</v>
      </c>
      <c r="D180" s="821" t="s">
        <v>854</v>
      </c>
      <c r="E180" s="821" t="s">
        <v>930</v>
      </c>
      <c r="F180" s="821"/>
      <c r="G180" s="821"/>
      <c r="H180" s="399"/>
      <c r="I180" s="399"/>
      <c r="J180" s="575" t="s">
        <v>1076</v>
      </c>
      <c r="K180" s="409"/>
      <c r="L180" s="409"/>
      <c r="M180" s="409"/>
      <c r="N180" s="409">
        <f t="shared" si="61"/>
        <v>0</v>
      </c>
      <c r="O180" s="409"/>
      <c r="P180" s="409"/>
      <c r="Q180" s="409"/>
      <c r="R180" s="409"/>
      <c r="S180" s="409"/>
      <c r="T180" s="409"/>
      <c r="U180" s="900">
        <v>0</v>
      </c>
      <c r="V180" s="401"/>
      <c r="W180" s="401"/>
      <c r="X180" s="401"/>
      <c r="Y180" s="571" t="s">
        <v>838</v>
      </c>
    </row>
    <row r="181" spans="1:25" s="137" customFormat="1" ht="22.5" customHeight="1" thickTop="1" thickBot="1">
      <c r="A181" s="401" t="s">
        <v>835</v>
      </c>
      <c r="B181" s="821" t="s">
        <v>852</v>
      </c>
      <c r="C181" s="821" t="s">
        <v>852</v>
      </c>
      <c r="D181" s="821" t="s">
        <v>854</v>
      </c>
      <c r="E181" s="821" t="s">
        <v>934</v>
      </c>
      <c r="F181" s="821"/>
      <c r="G181" s="821"/>
      <c r="H181" s="399"/>
      <c r="I181" s="399"/>
      <c r="J181" s="575" t="s">
        <v>1077</v>
      </c>
      <c r="K181" s="409"/>
      <c r="L181" s="409"/>
      <c r="M181" s="409"/>
      <c r="N181" s="409">
        <f t="shared" si="61"/>
        <v>0</v>
      </c>
      <c r="O181" s="409"/>
      <c r="P181" s="409"/>
      <c r="Q181" s="409"/>
      <c r="R181" s="409"/>
      <c r="S181" s="409"/>
      <c r="T181" s="409"/>
      <c r="U181" s="900">
        <v>0</v>
      </c>
      <c r="V181" s="401"/>
      <c r="W181" s="401"/>
      <c r="X181" s="401"/>
      <c r="Y181" s="571" t="s">
        <v>838</v>
      </c>
    </row>
    <row r="182" spans="1:25" s="137" customFormat="1" ht="22.5" customHeight="1" thickTop="1" thickBot="1">
      <c r="A182" s="401" t="s">
        <v>835</v>
      </c>
      <c r="B182" s="821" t="s">
        <v>852</v>
      </c>
      <c r="C182" s="821" t="s">
        <v>852</v>
      </c>
      <c r="D182" s="821" t="s">
        <v>854</v>
      </c>
      <c r="E182" s="821" t="s">
        <v>938</v>
      </c>
      <c r="F182" s="821"/>
      <c r="G182" s="821"/>
      <c r="H182" s="399"/>
      <c r="I182" s="399"/>
      <c r="J182" s="575" t="s">
        <v>1078</v>
      </c>
      <c r="K182" s="409"/>
      <c r="L182" s="409"/>
      <c r="M182" s="409"/>
      <c r="N182" s="409">
        <f t="shared" si="61"/>
        <v>0</v>
      </c>
      <c r="O182" s="409"/>
      <c r="P182" s="409"/>
      <c r="Q182" s="409"/>
      <c r="R182" s="409"/>
      <c r="S182" s="409"/>
      <c r="T182" s="409"/>
      <c r="U182" s="900">
        <v>0</v>
      </c>
      <c r="V182" s="401"/>
      <c r="W182" s="401"/>
      <c r="X182" s="401"/>
      <c r="Y182" s="571" t="s">
        <v>838</v>
      </c>
    </row>
    <row r="183" spans="1:25" s="137" customFormat="1" ht="22.5" customHeight="1" thickTop="1" thickBot="1">
      <c r="A183" s="401" t="s">
        <v>835</v>
      </c>
      <c r="B183" s="821" t="s">
        <v>852</v>
      </c>
      <c r="C183" s="821" t="s">
        <v>852</v>
      </c>
      <c r="D183" s="821" t="s">
        <v>854</v>
      </c>
      <c r="E183" s="821" t="s">
        <v>1079</v>
      </c>
      <c r="F183" s="821"/>
      <c r="G183" s="821"/>
      <c r="H183" s="399"/>
      <c r="I183" s="399"/>
      <c r="J183" s="575" t="s">
        <v>1080</v>
      </c>
      <c r="K183" s="409"/>
      <c r="L183" s="409"/>
      <c r="M183" s="409"/>
      <c r="N183" s="409">
        <f t="shared" si="61"/>
        <v>0</v>
      </c>
      <c r="O183" s="409"/>
      <c r="P183" s="409"/>
      <c r="Q183" s="409"/>
      <c r="R183" s="409"/>
      <c r="S183" s="409"/>
      <c r="T183" s="409"/>
      <c r="U183" s="900">
        <v>0</v>
      </c>
      <c r="V183" s="401"/>
      <c r="W183" s="401"/>
      <c r="X183" s="401"/>
      <c r="Y183" s="571" t="s">
        <v>838</v>
      </c>
    </row>
    <row r="184" spans="1:25" s="137" customFormat="1" ht="22.5" customHeight="1" thickTop="1" thickBot="1">
      <c r="A184" s="401" t="s">
        <v>835</v>
      </c>
      <c r="B184" s="821" t="s">
        <v>852</v>
      </c>
      <c r="C184" s="821" t="s">
        <v>852</v>
      </c>
      <c r="D184" s="821" t="s">
        <v>854</v>
      </c>
      <c r="E184" s="821" t="s">
        <v>1081</v>
      </c>
      <c r="F184" s="821"/>
      <c r="G184" s="821"/>
      <c r="H184" s="399"/>
      <c r="I184" s="399"/>
      <c r="J184" s="575" t="s">
        <v>1082</v>
      </c>
      <c r="K184" s="409"/>
      <c r="L184" s="409"/>
      <c r="M184" s="409"/>
      <c r="N184" s="409">
        <f t="shared" si="61"/>
        <v>0</v>
      </c>
      <c r="O184" s="409"/>
      <c r="P184" s="409"/>
      <c r="Q184" s="409"/>
      <c r="R184" s="409"/>
      <c r="S184" s="409"/>
      <c r="T184" s="409"/>
      <c r="U184" s="900">
        <v>0</v>
      </c>
      <c r="V184" s="401"/>
      <c r="W184" s="401"/>
      <c r="X184" s="401"/>
      <c r="Y184" s="571" t="s">
        <v>838</v>
      </c>
    </row>
    <row r="185" spans="1:25" s="137" customFormat="1" ht="22.5" customHeight="1" thickTop="1" thickBot="1">
      <c r="A185" s="401" t="s">
        <v>835</v>
      </c>
      <c r="B185" s="821" t="s">
        <v>852</v>
      </c>
      <c r="C185" s="821" t="s">
        <v>852</v>
      </c>
      <c r="D185" s="821" t="s">
        <v>854</v>
      </c>
      <c r="E185" s="821" t="s">
        <v>1083</v>
      </c>
      <c r="F185" s="821"/>
      <c r="G185" s="821"/>
      <c r="H185" s="399"/>
      <c r="I185" s="399"/>
      <c r="J185" s="575" t="s">
        <v>1084</v>
      </c>
      <c r="K185" s="409"/>
      <c r="L185" s="409"/>
      <c r="M185" s="409"/>
      <c r="N185" s="409">
        <f t="shared" si="61"/>
        <v>0</v>
      </c>
      <c r="O185" s="409"/>
      <c r="P185" s="409"/>
      <c r="Q185" s="409"/>
      <c r="R185" s="409"/>
      <c r="S185" s="409"/>
      <c r="T185" s="409"/>
      <c r="U185" s="900">
        <v>0</v>
      </c>
      <c r="V185" s="401"/>
      <c r="W185" s="401"/>
      <c r="X185" s="401"/>
      <c r="Y185" s="571" t="s">
        <v>838</v>
      </c>
    </row>
    <row r="186" spans="1:25" s="137" customFormat="1" ht="22.5" customHeight="1" thickTop="1" thickBot="1">
      <c r="A186" s="401" t="s">
        <v>835</v>
      </c>
      <c r="B186" s="821" t="s">
        <v>852</v>
      </c>
      <c r="C186" s="821" t="s">
        <v>852</v>
      </c>
      <c r="D186" s="821" t="s">
        <v>854</v>
      </c>
      <c r="E186" s="821" t="s">
        <v>1085</v>
      </c>
      <c r="F186" s="821"/>
      <c r="G186" s="821"/>
      <c r="H186" s="399"/>
      <c r="I186" s="399"/>
      <c r="J186" s="575" t="s">
        <v>1086</v>
      </c>
      <c r="K186" s="409"/>
      <c r="L186" s="409"/>
      <c r="M186" s="409"/>
      <c r="N186" s="409">
        <f t="shared" si="61"/>
        <v>0</v>
      </c>
      <c r="O186" s="409"/>
      <c r="P186" s="409"/>
      <c r="Q186" s="409"/>
      <c r="R186" s="409"/>
      <c r="S186" s="409"/>
      <c r="T186" s="409"/>
      <c r="U186" s="900">
        <v>0</v>
      </c>
      <c r="V186" s="401"/>
      <c r="W186" s="401"/>
      <c r="X186" s="401"/>
      <c r="Y186" s="571" t="s">
        <v>838</v>
      </c>
    </row>
    <row r="187" spans="1:25" s="137" customFormat="1" ht="22.5" customHeight="1" thickTop="1" thickBot="1">
      <c r="A187" s="398" t="s">
        <v>835</v>
      </c>
      <c r="B187" s="395" t="s">
        <v>852</v>
      </c>
      <c r="C187" s="395" t="s">
        <v>852</v>
      </c>
      <c r="D187" s="395" t="s">
        <v>856</v>
      </c>
      <c r="E187" s="395"/>
      <c r="F187" s="395"/>
      <c r="G187" s="395"/>
      <c r="H187" s="396"/>
      <c r="I187" s="396"/>
      <c r="J187" s="574" t="s">
        <v>1087</v>
      </c>
      <c r="K187" s="406"/>
      <c r="L187" s="406"/>
      <c r="M187" s="406"/>
      <c r="N187" s="406">
        <f t="shared" si="61"/>
        <v>0</v>
      </c>
      <c r="O187" s="406"/>
      <c r="P187" s="406"/>
      <c r="Q187" s="406"/>
      <c r="R187" s="406"/>
      <c r="S187" s="406"/>
      <c r="T187" s="406"/>
      <c r="U187" s="903">
        <v>0</v>
      </c>
      <c r="V187" s="395"/>
      <c r="W187" s="398" t="s">
        <v>1088</v>
      </c>
      <c r="X187" s="398"/>
      <c r="Y187" s="571" t="s">
        <v>838</v>
      </c>
    </row>
    <row r="188" spans="1:25" s="137" customFormat="1" ht="22.5" customHeight="1" thickTop="1" thickBot="1">
      <c r="A188" s="398" t="s">
        <v>835</v>
      </c>
      <c r="B188" s="395" t="s">
        <v>852</v>
      </c>
      <c r="C188" s="395" t="s">
        <v>852</v>
      </c>
      <c r="D188" s="395" t="s">
        <v>907</v>
      </c>
      <c r="E188" s="395"/>
      <c r="F188" s="395"/>
      <c r="G188" s="395"/>
      <c r="H188" s="396"/>
      <c r="I188" s="396"/>
      <c r="J188" s="574" t="s">
        <v>1089</v>
      </c>
      <c r="K188" s="406"/>
      <c r="L188" s="406"/>
      <c r="M188" s="406"/>
      <c r="N188" s="406">
        <f t="shared" si="61"/>
        <v>0</v>
      </c>
      <c r="O188" s="406"/>
      <c r="P188" s="406"/>
      <c r="Q188" s="406"/>
      <c r="R188" s="406"/>
      <c r="S188" s="406"/>
      <c r="T188" s="406"/>
      <c r="U188" s="903">
        <v>0</v>
      </c>
      <c r="V188" s="395"/>
      <c r="W188" s="398" t="s">
        <v>1090</v>
      </c>
      <c r="X188" s="398"/>
      <c r="Y188" s="571" t="s">
        <v>838</v>
      </c>
    </row>
    <row r="189" spans="1:25" s="137" customFormat="1" ht="22.5" customHeight="1" thickTop="1" thickBot="1">
      <c r="A189" s="394" t="s">
        <v>835</v>
      </c>
      <c r="B189" s="391" t="s">
        <v>852</v>
      </c>
      <c r="C189" s="391" t="s">
        <v>854</v>
      </c>
      <c r="D189" s="391"/>
      <c r="E189" s="391"/>
      <c r="F189" s="391"/>
      <c r="G189" s="391"/>
      <c r="H189" s="392"/>
      <c r="I189" s="392"/>
      <c r="J189" s="573" t="s">
        <v>1091</v>
      </c>
      <c r="K189" s="411">
        <f>+K190+K193+K194</f>
        <v>0</v>
      </c>
      <c r="L189" s="411">
        <f>+L190+L193+L194</f>
        <v>0</v>
      </c>
      <c r="M189" s="411">
        <f>+M190+M193+M194</f>
        <v>0</v>
      </c>
      <c r="N189" s="411">
        <f t="shared" si="61"/>
        <v>0</v>
      </c>
      <c r="O189" s="411">
        <f t="shared" ref="O189:T189" si="75">+O190+O193+O194</f>
        <v>0</v>
      </c>
      <c r="P189" s="411">
        <f t="shared" si="75"/>
        <v>0</v>
      </c>
      <c r="Q189" s="411">
        <f t="shared" si="75"/>
        <v>0</v>
      </c>
      <c r="R189" s="411">
        <f t="shared" si="75"/>
        <v>0</v>
      </c>
      <c r="S189" s="411">
        <f>+S190+S193+S194</f>
        <v>0</v>
      </c>
      <c r="T189" s="411">
        <f t="shared" si="75"/>
        <v>0</v>
      </c>
      <c r="U189" s="907">
        <v>0</v>
      </c>
      <c r="V189" s="391"/>
      <c r="W189" s="391" t="s">
        <v>1092</v>
      </c>
      <c r="X189" s="391"/>
      <c r="Y189" s="571" t="s">
        <v>838</v>
      </c>
    </row>
    <row r="190" spans="1:25" s="137" customFormat="1" ht="22.5" customHeight="1" thickTop="1" thickBot="1">
      <c r="A190" s="395" t="s">
        <v>835</v>
      </c>
      <c r="B190" s="395" t="s">
        <v>852</v>
      </c>
      <c r="C190" s="395" t="s">
        <v>854</v>
      </c>
      <c r="D190" s="395" t="s">
        <v>839</v>
      </c>
      <c r="E190" s="395"/>
      <c r="F190" s="395"/>
      <c r="G190" s="395"/>
      <c r="H190" s="396"/>
      <c r="I190" s="396"/>
      <c r="J190" s="574" t="s">
        <v>1093</v>
      </c>
      <c r="K190" s="406">
        <f>+K191+K192</f>
        <v>0</v>
      </c>
      <c r="L190" s="406">
        <f>+L191+L192</f>
        <v>0</v>
      </c>
      <c r="M190" s="406">
        <f>+M191+M192</f>
        <v>0</v>
      </c>
      <c r="N190" s="406">
        <f t="shared" si="61"/>
        <v>0</v>
      </c>
      <c r="O190" s="406">
        <f t="shared" ref="O190:T190" si="76">+O191+O192</f>
        <v>0</v>
      </c>
      <c r="P190" s="406">
        <f t="shared" si="76"/>
        <v>0</v>
      </c>
      <c r="Q190" s="406">
        <f t="shared" si="76"/>
        <v>0</v>
      </c>
      <c r="R190" s="406">
        <f t="shared" si="76"/>
        <v>0</v>
      </c>
      <c r="S190" s="406">
        <f>+S191+S192</f>
        <v>0</v>
      </c>
      <c r="T190" s="406">
        <f t="shared" si="76"/>
        <v>0</v>
      </c>
      <c r="U190" s="903">
        <v>0</v>
      </c>
      <c r="V190" s="395"/>
      <c r="W190" s="398" t="s">
        <v>1094</v>
      </c>
      <c r="X190" s="398" t="s">
        <v>1095</v>
      </c>
      <c r="Y190" s="571" t="s">
        <v>838</v>
      </c>
    </row>
    <row r="191" spans="1:25" s="137" customFormat="1" ht="22.5" customHeight="1" thickTop="1" thickBot="1">
      <c r="A191" s="401" t="s">
        <v>835</v>
      </c>
      <c r="B191" s="821" t="s">
        <v>852</v>
      </c>
      <c r="C191" s="821" t="s">
        <v>854</v>
      </c>
      <c r="D191" s="821" t="s">
        <v>839</v>
      </c>
      <c r="E191" s="821" t="s">
        <v>839</v>
      </c>
      <c r="F191" s="821"/>
      <c r="G191" s="821"/>
      <c r="H191" s="399"/>
      <c r="I191" s="399"/>
      <c r="J191" s="575" t="s">
        <v>1096</v>
      </c>
      <c r="K191" s="409"/>
      <c r="L191" s="409"/>
      <c r="M191" s="409"/>
      <c r="N191" s="409">
        <f t="shared" si="61"/>
        <v>0</v>
      </c>
      <c r="O191" s="409"/>
      <c r="P191" s="409"/>
      <c r="Q191" s="409"/>
      <c r="R191" s="409"/>
      <c r="S191" s="409"/>
      <c r="T191" s="409"/>
      <c r="U191" s="900">
        <v>0</v>
      </c>
      <c r="V191" s="401"/>
      <c r="W191" s="401" t="s">
        <v>1097</v>
      </c>
      <c r="X191" s="401" t="s">
        <v>1098</v>
      </c>
      <c r="Y191" s="571" t="s">
        <v>838</v>
      </c>
    </row>
    <row r="192" spans="1:25" s="137" customFormat="1" ht="22.5" customHeight="1" thickTop="1" thickBot="1">
      <c r="A192" s="401" t="s">
        <v>835</v>
      </c>
      <c r="B192" s="821" t="s">
        <v>852</v>
      </c>
      <c r="C192" s="821" t="s">
        <v>854</v>
      </c>
      <c r="D192" s="821" t="s">
        <v>839</v>
      </c>
      <c r="E192" s="821" t="s">
        <v>852</v>
      </c>
      <c r="F192" s="821"/>
      <c r="G192" s="821"/>
      <c r="H192" s="399"/>
      <c r="I192" s="399"/>
      <c r="J192" s="575" t="s">
        <v>1099</v>
      </c>
      <c r="K192" s="409"/>
      <c r="L192" s="409"/>
      <c r="M192" s="409"/>
      <c r="N192" s="409">
        <f t="shared" si="61"/>
        <v>0</v>
      </c>
      <c r="O192" s="409"/>
      <c r="P192" s="409"/>
      <c r="Q192" s="409"/>
      <c r="R192" s="409"/>
      <c r="S192" s="409"/>
      <c r="T192" s="409"/>
      <c r="U192" s="900">
        <v>0</v>
      </c>
      <c r="V192" s="821"/>
      <c r="W192" s="401" t="s">
        <v>1100</v>
      </c>
      <c r="X192" s="401"/>
      <c r="Y192" s="571" t="s">
        <v>838</v>
      </c>
    </row>
    <row r="193" spans="1:25" s="137" customFormat="1" ht="22.5" customHeight="1" thickTop="1" thickBot="1">
      <c r="A193" s="398" t="s">
        <v>835</v>
      </c>
      <c r="B193" s="395" t="s">
        <v>852</v>
      </c>
      <c r="C193" s="395" t="s">
        <v>854</v>
      </c>
      <c r="D193" s="395" t="s">
        <v>852</v>
      </c>
      <c r="E193" s="395"/>
      <c r="F193" s="395"/>
      <c r="G193" s="395"/>
      <c r="H193" s="396"/>
      <c r="I193" s="396"/>
      <c r="J193" s="574" t="s">
        <v>1101</v>
      </c>
      <c r="K193" s="406"/>
      <c r="L193" s="406"/>
      <c r="M193" s="406"/>
      <c r="N193" s="406">
        <f t="shared" si="61"/>
        <v>0</v>
      </c>
      <c r="O193" s="406"/>
      <c r="P193" s="406"/>
      <c r="Q193" s="406"/>
      <c r="R193" s="406"/>
      <c r="S193" s="406"/>
      <c r="T193" s="406"/>
      <c r="U193" s="903">
        <v>0</v>
      </c>
      <c r="V193" s="395"/>
      <c r="W193" s="398" t="s">
        <v>1102</v>
      </c>
      <c r="X193" s="398"/>
      <c r="Y193" s="571" t="s">
        <v>838</v>
      </c>
    </row>
    <row r="194" spans="1:25" s="137" customFormat="1" ht="22.5" customHeight="1" thickTop="1" thickBot="1">
      <c r="A194" s="398" t="s">
        <v>835</v>
      </c>
      <c r="B194" s="395" t="s">
        <v>852</v>
      </c>
      <c r="C194" s="395" t="s">
        <v>854</v>
      </c>
      <c r="D194" s="395" t="s">
        <v>854</v>
      </c>
      <c r="E194" s="395"/>
      <c r="F194" s="395"/>
      <c r="G194" s="395"/>
      <c r="H194" s="396"/>
      <c r="I194" s="396"/>
      <c r="J194" s="574" t="s">
        <v>1103</v>
      </c>
      <c r="K194" s="406"/>
      <c r="L194" s="406"/>
      <c r="M194" s="406"/>
      <c r="N194" s="406">
        <f t="shared" si="61"/>
        <v>0</v>
      </c>
      <c r="O194" s="406"/>
      <c r="P194" s="406"/>
      <c r="Q194" s="406"/>
      <c r="R194" s="406"/>
      <c r="S194" s="406"/>
      <c r="T194" s="406"/>
      <c r="U194" s="903">
        <v>0</v>
      </c>
      <c r="V194" s="395"/>
      <c r="W194" s="398" t="s">
        <v>1104</v>
      </c>
      <c r="X194" s="398" t="s">
        <v>1105</v>
      </c>
      <c r="Y194" s="571" t="s">
        <v>838</v>
      </c>
    </row>
    <row r="195" spans="1:25" s="137" customFormat="1" ht="22.5" customHeight="1" thickTop="1" thickBot="1">
      <c r="A195" s="394" t="s">
        <v>835</v>
      </c>
      <c r="B195" s="391" t="s">
        <v>852</v>
      </c>
      <c r="C195" s="391" t="s">
        <v>856</v>
      </c>
      <c r="D195" s="391"/>
      <c r="E195" s="391"/>
      <c r="F195" s="391"/>
      <c r="G195" s="391"/>
      <c r="H195" s="392"/>
      <c r="I195" s="392"/>
      <c r="J195" s="573" t="s">
        <v>1106</v>
      </c>
      <c r="K195" s="411">
        <f>+K196+K207+K213</f>
        <v>0</v>
      </c>
      <c r="L195" s="411">
        <f>+L196+L207+L213</f>
        <v>0</v>
      </c>
      <c r="M195" s="411">
        <f>+M196+M207+M213</f>
        <v>0</v>
      </c>
      <c r="N195" s="411">
        <f t="shared" si="61"/>
        <v>0</v>
      </c>
      <c r="O195" s="411">
        <f t="shared" ref="O195:T195" si="77">+O196+O207+O213</f>
        <v>0</v>
      </c>
      <c r="P195" s="411">
        <f t="shared" si="77"/>
        <v>0</v>
      </c>
      <c r="Q195" s="411">
        <f t="shared" si="77"/>
        <v>0</v>
      </c>
      <c r="R195" s="411">
        <f t="shared" si="77"/>
        <v>0</v>
      </c>
      <c r="S195" s="411">
        <f>+S196+S207+S213</f>
        <v>0</v>
      </c>
      <c r="T195" s="411">
        <f t="shared" si="77"/>
        <v>0</v>
      </c>
      <c r="U195" s="907">
        <v>0</v>
      </c>
      <c r="V195" s="391"/>
      <c r="W195" s="391" t="s">
        <v>1107</v>
      </c>
      <c r="X195" s="391"/>
      <c r="Y195" s="571" t="s">
        <v>838</v>
      </c>
    </row>
    <row r="196" spans="1:25" s="137" customFormat="1" ht="22.5" customHeight="1" thickTop="1" thickBot="1">
      <c r="A196" s="398" t="s">
        <v>835</v>
      </c>
      <c r="B196" s="395" t="s">
        <v>852</v>
      </c>
      <c r="C196" s="395" t="s">
        <v>856</v>
      </c>
      <c r="D196" s="395" t="s">
        <v>839</v>
      </c>
      <c r="E196" s="395"/>
      <c r="F196" s="395"/>
      <c r="G196" s="395"/>
      <c r="H196" s="396"/>
      <c r="I196" s="396"/>
      <c r="J196" s="574" t="s">
        <v>1108</v>
      </c>
      <c r="K196" s="406">
        <f>+K197+K200+K206</f>
        <v>0</v>
      </c>
      <c r="L196" s="406">
        <f>+L197+L200+L206</f>
        <v>0</v>
      </c>
      <c r="M196" s="406">
        <f>+M197+M200+M206</f>
        <v>0</v>
      </c>
      <c r="N196" s="406">
        <f t="shared" si="61"/>
        <v>0</v>
      </c>
      <c r="O196" s="406">
        <f t="shared" ref="O196:T196" si="78">+O197+O200+O206</f>
        <v>0</v>
      </c>
      <c r="P196" s="406">
        <f t="shared" si="78"/>
        <v>0</v>
      </c>
      <c r="Q196" s="406">
        <f t="shared" si="78"/>
        <v>0</v>
      </c>
      <c r="R196" s="406">
        <f t="shared" si="78"/>
        <v>0</v>
      </c>
      <c r="S196" s="406">
        <f>+S197+S200+S206</f>
        <v>0</v>
      </c>
      <c r="T196" s="406">
        <f t="shared" si="78"/>
        <v>0</v>
      </c>
      <c r="U196" s="903">
        <v>0</v>
      </c>
      <c r="V196" s="395"/>
      <c r="W196" s="398" t="s">
        <v>1109</v>
      </c>
      <c r="X196" s="398" t="s">
        <v>1110</v>
      </c>
      <c r="Y196" s="571" t="s">
        <v>838</v>
      </c>
    </row>
    <row r="197" spans="1:25" ht="22.5" customHeight="1" thickTop="1" thickBot="1">
      <c r="A197" s="401" t="s">
        <v>835</v>
      </c>
      <c r="B197" s="821" t="s">
        <v>852</v>
      </c>
      <c r="C197" s="821" t="s">
        <v>856</v>
      </c>
      <c r="D197" s="821" t="s">
        <v>839</v>
      </c>
      <c r="E197" s="821" t="s">
        <v>839</v>
      </c>
      <c r="F197" s="821"/>
      <c r="G197" s="821"/>
      <c r="H197" s="399"/>
      <c r="I197" s="399"/>
      <c r="J197" s="575" t="s">
        <v>1111</v>
      </c>
      <c r="K197" s="409">
        <f>+K198+K199</f>
        <v>0</v>
      </c>
      <c r="L197" s="409">
        <f>+L198+L199</f>
        <v>0</v>
      </c>
      <c r="M197" s="409">
        <f>+M198+M199</f>
        <v>0</v>
      </c>
      <c r="N197" s="409">
        <f t="shared" si="61"/>
        <v>0</v>
      </c>
      <c r="O197" s="409">
        <f t="shared" ref="O197:T197" si="79">+O198+O199</f>
        <v>0</v>
      </c>
      <c r="P197" s="409">
        <f t="shared" si="79"/>
        <v>0</v>
      </c>
      <c r="Q197" s="409">
        <f t="shared" si="79"/>
        <v>0</v>
      </c>
      <c r="R197" s="409">
        <f t="shared" si="79"/>
        <v>0</v>
      </c>
      <c r="S197" s="409">
        <f>+S198+S199</f>
        <v>0</v>
      </c>
      <c r="T197" s="409">
        <f t="shared" si="79"/>
        <v>0</v>
      </c>
      <c r="U197" s="900">
        <v>0</v>
      </c>
      <c r="V197" s="401"/>
      <c r="W197" s="401" t="s">
        <v>1112</v>
      </c>
      <c r="X197" s="401" t="s">
        <v>1098</v>
      </c>
      <c r="Y197" s="571" t="s">
        <v>838</v>
      </c>
    </row>
    <row r="198" spans="1:25" ht="22.5" customHeight="1" thickTop="1" thickBot="1">
      <c r="A198" s="403" t="s">
        <v>835</v>
      </c>
      <c r="B198" s="399" t="s">
        <v>852</v>
      </c>
      <c r="C198" s="399" t="s">
        <v>856</v>
      </c>
      <c r="D198" s="399" t="s">
        <v>839</v>
      </c>
      <c r="E198" s="399" t="s">
        <v>839</v>
      </c>
      <c r="F198" s="821" t="s">
        <v>839</v>
      </c>
      <c r="G198" s="399"/>
      <c r="H198" s="399"/>
      <c r="I198" s="399"/>
      <c r="J198" s="576" t="s">
        <v>1113</v>
      </c>
      <c r="K198" s="410"/>
      <c r="L198" s="410"/>
      <c r="M198" s="410"/>
      <c r="N198" s="410">
        <f t="shared" si="61"/>
        <v>0</v>
      </c>
      <c r="O198" s="410"/>
      <c r="P198" s="410"/>
      <c r="Q198" s="410"/>
      <c r="R198" s="410"/>
      <c r="S198" s="410"/>
      <c r="T198" s="410"/>
      <c r="U198" s="897">
        <v>0</v>
      </c>
      <c r="V198" s="399"/>
      <c r="W198" s="403" t="s">
        <v>1114</v>
      </c>
      <c r="X198" s="403"/>
      <c r="Y198" s="571" t="s">
        <v>838</v>
      </c>
    </row>
    <row r="199" spans="1:25" s="137" customFormat="1" ht="22.5" customHeight="1" thickTop="1" thickBot="1">
      <c r="A199" s="403" t="s">
        <v>835</v>
      </c>
      <c r="B199" s="399" t="s">
        <v>852</v>
      </c>
      <c r="C199" s="399" t="s">
        <v>856</v>
      </c>
      <c r="D199" s="399" t="s">
        <v>839</v>
      </c>
      <c r="E199" s="399" t="s">
        <v>839</v>
      </c>
      <c r="F199" s="821" t="s">
        <v>852</v>
      </c>
      <c r="G199" s="399"/>
      <c r="H199" s="399"/>
      <c r="I199" s="399"/>
      <c r="J199" s="576" t="s">
        <v>1115</v>
      </c>
      <c r="K199" s="410"/>
      <c r="L199" s="410"/>
      <c r="M199" s="410"/>
      <c r="N199" s="410">
        <f t="shared" si="61"/>
        <v>0</v>
      </c>
      <c r="O199" s="410"/>
      <c r="P199" s="410"/>
      <c r="Q199" s="410"/>
      <c r="R199" s="410"/>
      <c r="S199" s="410"/>
      <c r="T199" s="410"/>
      <c r="U199" s="897">
        <v>0</v>
      </c>
      <c r="V199" s="403"/>
      <c r="W199" s="403" t="s">
        <v>1116</v>
      </c>
      <c r="X199" s="403"/>
      <c r="Y199" s="571" t="s">
        <v>838</v>
      </c>
    </row>
    <row r="200" spans="1:25" ht="22.5" customHeight="1" thickTop="1" thickBot="1">
      <c r="A200" s="401" t="s">
        <v>835</v>
      </c>
      <c r="B200" s="821" t="s">
        <v>852</v>
      </c>
      <c r="C200" s="821" t="s">
        <v>856</v>
      </c>
      <c r="D200" s="821" t="s">
        <v>839</v>
      </c>
      <c r="E200" s="821" t="s">
        <v>852</v>
      </c>
      <c r="F200" s="821"/>
      <c r="G200" s="821"/>
      <c r="H200" s="399"/>
      <c r="I200" s="399"/>
      <c r="J200" s="575" t="s">
        <v>1117</v>
      </c>
      <c r="K200" s="409">
        <f>+K201+K202+K203+K204+K205</f>
        <v>0</v>
      </c>
      <c r="L200" s="409">
        <f>+L201+L202+L203+L204+L205</f>
        <v>0</v>
      </c>
      <c r="M200" s="409">
        <f>+M201+M202+M203+M204+M205</f>
        <v>0</v>
      </c>
      <c r="N200" s="409">
        <f t="shared" si="61"/>
        <v>0</v>
      </c>
      <c r="O200" s="409">
        <f t="shared" ref="O200:T200" si="80">+O201+O202+O203+O204+O205</f>
        <v>0</v>
      </c>
      <c r="P200" s="409">
        <f t="shared" si="80"/>
        <v>0</v>
      </c>
      <c r="Q200" s="409">
        <f t="shared" si="80"/>
        <v>0</v>
      </c>
      <c r="R200" s="409">
        <f t="shared" si="80"/>
        <v>0</v>
      </c>
      <c r="S200" s="409">
        <f>+S201+S202+S203+S204+S205</f>
        <v>0</v>
      </c>
      <c r="T200" s="409">
        <f t="shared" si="80"/>
        <v>0</v>
      </c>
      <c r="U200" s="900">
        <v>0</v>
      </c>
      <c r="V200" s="401"/>
      <c r="W200" s="401" t="s">
        <v>1118</v>
      </c>
      <c r="X200" s="401"/>
      <c r="Y200" s="571" t="s">
        <v>838</v>
      </c>
    </row>
    <row r="201" spans="1:25" ht="22.5" customHeight="1" thickTop="1" thickBot="1">
      <c r="A201" s="403" t="s">
        <v>835</v>
      </c>
      <c r="B201" s="399" t="s">
        <v>852</v>
      </c>
      <c r="C201" s="399" t="s">
        <v>856</v>
      </c>
      <c r="D201" s="399" t="s">
        <v>839</v>
      </c>
      <c r="E201" s="399" t="s">
        <v>852</v>
      </c>
      <c r="F201" s="821" t="s">
        <v>839</v>
      </c>
      <c r="G201" s="399"/>
      <c r="H201" s="399"/>
      <c r="I201" s="399"/>
      <c r="J201" s="576" t="s">
        <v>1119</v>
      </c>
      <c r="K201" s="410"/>
      <c r="L201" s="410"/>
      <c r="M201" s="410"/>
      <c r="N201" s="410">
        <f t="shared" si="61"/>
        <v>0</v>
      </c>
      <c r="O201" s="410"/>
      <c r="P201" s="410"/>
      <c r="Q201" s="410"/>
      <c r="R201" s="410"/>
      <c r="S201" s="410"/>
      <c r="T201" s="410"/>
      <c r="U201" s="897">
        <v>0</v>
      </c>
      <c r="V201" s="403"/>
      <c r="W201" s="403" t="s">
        <v>1120</v>
      </c>
      <c r="X201" s="403"/>
      <c r="Y201" s="571" t="s">
        <v>838</v>
      </c>
    </row>
    <row r="202" spans="1:25" ht="22.5" customHeight="1" thickTop="1" thickBot="1">
      <c r="A202" s="403" t="s">
        <v>835</v>
      </c>
      <c r="B202" s="399" t="s">
        <v>852</v>
      </c>
      <c r="C202" s="399" t="s">
        <v>856</v>
      </c>
      <c r="D202" s="399" t="s">
        <v>839</v>
      </c>
      <c r="E202" s="399" t="s">
        <v>852</v>
      </c>
      <c r="F202" s="821" t="s">
        <v>852</v>
      </c>
      <c r="G202" s="399"/>
      <c r="H202" s="399"/>
      <c r="I202" s="399"/>
      <c r="J202" s="576" t="s">
        <v>1121</v>
      </c>
      <c r="K202" s="410"/>
      <c r="L202" s="410"/>
      <c r="M202" s="410"/>
      <c r="N202" s="410">
        <f t="shared" si="61"/>
        <v>0</v>
      </c>
      <c r="O202" s="410"/>
      <c r="P202" s="410"/>
      <c r="Q202" s="410"/>
      <c r="R202" s="410"/>
      <c r="S202" s="410"/>
      <c r="T202" s="410"/>
      <c r="U202" s="897">
        <v>0</v>
      </c>
      <c r="V202" s="403"/>
      <c r="W202" s="403" t="s">
        <v>1122</v>
      </c>
      <c r="X202" s="403"/>
      <c r="Y202" s="571" t="s">
        <v>838</v>
      </c>
    </row>
    <row r="203" spans="1:25" ht="22.5" customHeight="1" thickTop="1" thickBot="1">
      <c r="A203" s="403" t="s">
        <v>835</v>
      </c>
      <c r="B203" s="399" t="s">
        <v>852</v>
      </c>
      <c r="C203" s="399" t="s">
        <v>856</v>
      </c>
      <c r="D203" s="399" t="s">
        <v>839</v>
      </c>
      <c r="E203" s="399" t="s">
        <v>852</v>
      </c>
      <c r="F203" s="821" t="s">
        <v>854</v>
      </c>
      <c r="G203" s="399"/>
      <c r="H203" s="399"/>
      <c r="I203" s="399"/>
      <c r="J203" s="576" t="s">
        <v>1123</v>
      </c>
      <c r="K203" s="410"/>
      <c r="L203" s="410"/>
      <c r="M203" s="410"/>
      <c r="N203" s="410">
        <f t="shared" ref="N203:N243" si="81">K203+L203-M203</f>
        <v>0</v>
      </c>
      <c r="O203" s="410"/>
      <c r="P203" s="410"/>
      <c r="Q203" s="410"/>
      <c r="R203" s="410"/>
      <c r="S203" s="410"/>
      <c r="T203" s="410"/>
      <c r="U203" s="897">
        <v>0</v>
      </c>
      <c r="V203" s="403"/>
      <c r="W203" s="403" t="s">
        <v>1124</v>
      </c>
      <c r="X203" s="403"/>
      <c r="Y203" s="571" t="s">
        <v>838</v>
      </c>
    </row>
    <row r="204" spans="1:25" ht="22.5" customHeight="1" thickTop="1" thickBot="1">
      <c r="A204" s="403" t="s">
        <v>835</v>
      </c>
      <c r="B204" s="399" t="s">
        <v>852</v>
      </c>
      <c r="C204" s="399" t="s">
        <v>856</v>
      </c>
      <c r="D204" s="399" t="s">
        <v>839</v>
      </c>
      <c r="E204" s="399" t="s">
        <v>852</v>
      </c>
      <c r="F204" s="821" t="s">
        <v>856</v>
      </c>
      <c r="G204" s="399"/>
      <c r="H204" s="399"/>
      <c r="I204" s="399"/>
      <c r="J204" s="576" t="s">
        <v>1125</v>
      </c>
      <c r="K204" s="410"/>
      <c r="L204" s="410"/>
      <c r="M204" s="410"/>
      <c r="N204" s="410">
        <f t="shared" si="81"/>
        <v>0</v>
      </c>
      <c r="O204" s="410"/>
      <c r="P204" s="410"/>
      <c r="Q204" s="410"/>
      <c r="R204" s="410"/>
      <c r="S204" s="410"/>
      <c r="T204" s="410"/>
      <c r="U204" s="897">
        <v>0</v>
      </c>
      <c r="V204" s="403"/>
      <c r="W204" s="403" t="s">
        <v>1126</v>
      </c>
      <c r="X204" s="403"/>
      <c r="Y204" s="571" t="s">
        <v>838</v>
      </c>
    </row>
    <row r="205" spans="1:25" s="137" customFormat="1" ht="22.5" customHeight="1" thickTop="1" thickBot="1">
      <c r="A205" s="403" t="s">
        <v>835</v>
      </c>
      <c r="B205" s="399" t="s">
        <v>852</v>
      </c>
      <c r="C205" s="399" t="s">
        <v>856</v>
      </c>
      <c r="D205" s="399" t="s">
        <v>839</v>
      </c>
      <c r="E205" s="399" t="s">
        <v>852</v>
      </c>
      <c r="F205" s="821" t="s">
        <v>907</v>
      </c>
      <c r="G205" s="399"/>
      <c r="H205" s="399"/>
      <c r="I205" s="399"/>
      <c r="J205" s="576" t="s">
        <v>1127</v>
      </c>
      <c r="K205" s="410"/>
      <c r="L205" s="410"/>
      <c r="M205" s="410"/>
      <c r="N205" s="410">
        <f t="shared" si="81"/>
        <v>0</v>
      </c>
      <c r="O205" s="410"/>
      <c r="P205" s="410"/>
      <c r="Q205" s="410"/>
      <c r="R205" s="410"/>
      <c r="S205" s="410"/>
      <c r="T205" s="410"/>
      <c r="U205" s="897">
        <v>0</v>
      </c>
      <c r="V205" s="403"/>
      <c r="W205" s="403" t="s">
        <v>1128</v>
      </c>
      <c r="X205" s="403" t="s">
        <v>1129</v>
      </c>
      <c r="Y205" s="571" t="s">
        <v>838</v>
      </c>
    </row>
    <row r="206" spans="1:25" s="137" customFormat="1" ht="22.5" customHeight="1" thickTop="1" thickBot="1">
      <c r="A206" s="401" t="s">
        <v>835</v>
      </c>
      <c r="B206" s="821" t="s">
        <v>852</v>
      </c>
      <c r="C206" s="821" t="s">
        <v>856</v>
      </c>
      <c r="D206" s="821" t="s">
        <v>839</v>
      </c>
      <c r="E206" s="821" t="s">
        <v>854</v>
      </c>
      <c r="F206" s="821"/>
      <c r="G206" s="821"/>
      <c r="H206" s="399"/>
      <c r="I206" s="399"/>
      <c r="J206" s="575" t="s">
        <v>1130</v>
      </c>
      <c r="K206" s="409"/>
      <c r="L206" s="409"/>
      <c r="M206" s="409"/>
      <c r="N206" s="409">
        <f t="shared" si="81"/>
        <v>0</v>
      </c>
      <c r="O206" s="409"/>
      <c r="P206" s="409"/>
      <c r="Q206" s="409"/>
      <c r="R206" s="409"/>
      <c r="S206" s="409"/>
      <c r="T206" s="409"/>
      <c r="U206" s="900">
        <v>0</v>
      </c>
      <c r="V206" s="401"/>
      <c r="W206" s="401" t="s">
        <v>1131</v>
      </c>
      <c r="X206" s="401"/>
      <c r="Y206" s="571" t="s">
        <v>838</v>
      </c>
    </row>
    <row r="207" spans="1:25" s="137" customFormat="1" ht="22.5" customHeight="1" thickTop="1" thickBot="1">
      <c r="A207" s="398" t="s">
        <v>835</v>
      </c>
      <c r="B207" s="395" t="s">
        <v>852</v>
      </c>
      <c r="C207" s="395" t="s">
        <v>856</v>
      </c>
      <c r="D207" s="395" t="s">
        <v>852</v>
      </c>
      <c r="E207" s="395"/>
      <c r="F207" s="395"/>
      <c r="G207" s="395"/>
      <c r="H207" s="396"/>
      <c r="I207" s="396"/>
      <c r="J207" s="574" t="s">
        <v>1132</v>
      </c>
      <c r="K207" s="406">
        <f>+K208+K211+K212</f>
        <v>0</v>
      </c>
      <c r="L207" s="406">
        <f>+L208+L211+L212</f>
        <v>0</v>
      </c>
      <c r="M207" s="406">
        <f>+M208+M211+M212</f>
        <v>0</v>
      </c>
      <c r="N207" s="406">
        <f t="shared" si="81"/>
        <v>0</v>
      </c>
      <c r="O207" s="406">
        <f t="shared" ref="O207:T207" si="82">+O208+O211+O212</f>
        <v>0</v>
      </c>
      <c r="P207" s="406">
        <f t="shared" si="82"/>
        <v>0</v>
      </c>
      <c r="Q207" s="406">
        <f t="shared" si="82"/>
        <v>0</v>
      </c>
      <c r="R207" s="406">
        <f t="shared" si="82"/>
        <v>0</v>
      </c>
      <c r="S207" s="406">
        <f>+S208+S211+S212</f>
        <v>0</v>
      </c>
      <c r="T207" s="406">
        <f t="shared" si="82"/>
        <v>0</v>
      </c>
      <c r="U207" s="903">
        <v>0</v>
      </c>
      <c r="V207" s="395"/>
      <c r="W207" s="398" t="s">
        <v>1133</v>
      </c>
      <c r="X207" s="398" t="s">
        <v>1134</v>
      </c>
      <c r="Y207" s="571" t="s">
        <v>838</v>
      </c>
    </row>
    <row r="208" spans="1:25" ht="22.5" customHeight="1" thickTop="1" thickBot="1">
      <c r="A208" s="401" t="s">
        <v>835</v>
      </c>
      <c r="B208" s="821" t="s">
        <v>852</v>
      </c>
      <c r="C208" s="821" t="s">
        <v>856</v>
      </c>
      <c r="D208" s="821" t="s">
        <v>852</v>
      </c>
      <c r="E208" s="821" t="s">
        <v>839</v>
      </c>
      <c r="F208" s="821"/>
      <c r="G208" s="821"/>
      <c r="H208" s="399"/>
      <c r="I208" s="399"/>
      <c r="J208" s="575" t="s">
        <v>1135</v>
      </c>
      <c r="K208" s="414">
        <f>+K209+K210</f>
        <v>0</v>
      </c>
      <c r="L208" s="414">
        <f>+L209+L210</f>
        <v>0</v>
      </c>
      <c r="M208" s="414">
        <f>+M209+M210</f>
        <v>0</v>
      </c>
      <c r="N208" s="414">
        <f t="shared" si="81"/>
        <v>0</v>
      </c>
      <c r="O208" s="414">
        <f t="shared" ref="O208:T208" si="83">+O209+O210</f>
        <v>0</v>
      </c>
      <c r="P208" s="414">
        <f t="shared" si="83"/>
        <v>0</v>
      </c>
      <c r="Q208" s="414">
        <f t="shared" si="83"/>
        <v>0</v>
      </c>
      <c r="R208" s="414">
        <f t="shared" si="83"/>
        <v>0</v>
      </c>
      <c r="S208" s="414">
        <f>+S209+S210</f>
        <v>0</v>
      </c>
      <c r="T208" s="414">
        <f t="shared" si="83"/>
        <v>0</v>
      </c>
      <c r="U208" s="897">
        <v>0</v>
      </c>
      <c r="V208" s="821"/>
      <c r="W208" s="401" t="s">
        <v>1136</v>
      </c>
      <c r="X208" s="401"/>
      <c r="Y208" s="571" t="s">
        <v>838</v>
      </c>
    </row>
    <row r="209" spans="1:25" ht="22.5" customHeight="1" thickTop="1" thickBot="1">
      <c r="A209" s="403" t="s">
        <v>835</v>
      </c>
      <c r="B209" s="399" t="s">
        <v>852</v>
      </c>
      <c r="C209" s="399" t="s">
        <v>856</v>
      </c>
      <c r="D209" s="399" t="s">
        <v>852</v>
      </c>
      <c r="E209" s="399" t="s">
        <v>839</v>
      </c>
      <c r="F209" s="821" t="s">
        <v>839</v>
      </c>
      <c r="G209" s="399"/>
      <c r="H209" s="399"/>
      <c r="I209" s="399"/>
      <c r="J209" s="576" t="s">
        <v>1137</v>
      </c>
      <c r="K209" s="415"/>
      <c r="L209" s="415"/>
      <c r="M209" s="415"/>
      <c r="N209" s="415">
        <f t="shared" si="81"/>
        <v>0</v>
      </c>
      <c r="O209" s="415"/>
      <c r="P209" s="415"/>
      <c r="Q209" s="415"/>
      <c r="R209" s="415"/>
      <c r="S209" s="415"/>
      <c r="T209" s="415"/>
      <c r="U209" s="897">
        <v>0</v>
      </c>
      <c r="V209" s="399"/>
      <c r="W209" s="403" t="s">
        <v>1138</v>
      </c>
      <c r="X209" s="403"/>
      <c r="Y209" s="571" t="s">
        <v>838</v>
      </c>
    </row>
    <row r="210" spans="1:25" s="137" customFormat="1" ht="22.5" customHeight="1" thickTop="1" thickBot="1">
      <c r="A210" s="403" t="s">
        <v>835</v>
      </c>
      <c r="B210" s="399" t="s">
        <v>852</v>
      </c>
      <c r="C210" s="399" t="s">
        <v>856</v>
      </c>
      <c r="D210" s="399" t="s">
        <v>852</v>
      </c>
      <c r="E210" s="399" t="s">
        <v>839</v>
      </c>
      <c r="F210" s="821" t="s">
        <v>852</v>
      </c>
      <c r="G210" s="399"/>
      <c r="H210" s="399"/>
      <c r="I210" s="399"/>
      <c r="J210" s="576" t="s">
        <v>1139</v>
      </c>
      <c r="K210" s="415"/>
      <c r="L210" s="415"/>
      <c r="M210" s="415"/>
      <c r="N210" s="415">
        <f t="shared" si="81"/>
        <v>0</v>
      </c>
      <c r="O210" s="415"/>
      <c r="P210" s="415"/>
      <c r="Q210" s="415"/>
      <c r="R210" s="415"/>
      <c r="S210" s="415"/>
      <c r="T210" s="415"/>
      <c r="U210" s="897">
        <v>0</v>
      </c>
      <c r="V210" s="399"/>
      <c r="W210" s="403" t="s">
        <v>1140</v>
      </c>
      <c r="X210" s="403"/>
      <c r="Y210" s="571" t="s">
        <v>838</v>
      </c>
    </row>
    <row r="211" spans="1:25" s="137" customFormat="1" ht="22.5" customHeight="1" thickTop="1" thickBot="1">
      <c r="A211" s="401" t="s">
        <v>835</v>
      </c>
      <c r="B211" s="821" t="s">
        <v>852</v>
      </c>
      <c r="C211" s="821" t="s">
        <v>856</v>
      </c>
      <c r="D211" s="821" t="s">
        <v>852</v>
      </c>
      <c r="E211" s="821" t="s">
        <v>852</v>
      </c>
      <c r="F211" s="821"/>
      <c r="G211" s="821"/>
      <c r="H211" s="399"/>
      <c r="I211" s="399"/>
      <c r="J211" s="575" t="s">
        <v>1141</v>
      </c>
      <c r="K211" s="414"/>
      <c r="L211" s="414"/>
      <c r="M211" s="414"/>
      <c r="N211" s="414">
        <f t="shared" si="81"/>
        <v>0</v>
      </c>
      <c r="O211" s="414"/>
      <c r="P211" s="414"/>
      <c r="Q211" s="414"/>
      <c r="R211" s="414"/>
      <c r="S211" s="414"/>
      <c r="T211" s="414"/>
      <c r="U211" s="897">
        <v>0</v>
      </c>
      <c r="V211" s="821"/>
      <c r="W211" s="401" t="s">
        <v>1142</v>
      </c>
      <c r="X211" s="401"/>
      <c r="Y211" s="571" t="s">
        <v>838</v>
      </c>
    </row>
    <row r="212" spans="1:25" s="137" customFormat="1" ht="22.5" customHeight="1" thickTop="1" thickBot="1">
      <c r="A212" s="401" t="s">
        <v>835</v>
      </c>
      <c r="B212" s="821" t="s">
        <v>852</v>
      </c>
      <c r="C212" s="821" t="s">
        <v>856</v>
      </c>
      <c r="D212" s="821" t="s">
        <v>852</v>
      </c>
      <c r="E212" s="821" t="s">
        <v>854</v>
      </c>
      <c r="F212" s="821"/>
      <c r="G212" s="821"/>
      <c r="H212" s="399"/>
      <c r="I212" s="399"/>
      <c r="J212" s="575" t="s">
        <v>1143</v>
      </c>
      <c r="K212" s="414"/>
      <c r="L212" s="414"/>
      <c r="M212" s="414"/>
      <c r="N212" s="414">
        <f t="shared" si="81"/>
        <v>0</v>
      </c>
      <c r="O212" s="414"/>
      <c r="P212" s="414"/>
      <c r="Q212" s="414"/>
      <c r="R212" s="414"/>
      <c r="S212" s="414"/>
      <c r="T212" s="414"/>
      <c r="U212" s="897">
        <v>0</v>
      </c>
      <c r="V212" s="821"/>
      <c r="W212" s="401" t="s">
        <v>1144</v>
      </c>
      <c r="X212" s="401"/>
      <c r="Y212" s="571" t="s">
        <v>838</v>
      </c>
    </row>
    <row r="213" spans="1:25" s="137" customFormat="1" ht="22.5" customHeight="1" thickTop="1" thickBot="1">
      <c r="A213" s="398" t="s">
        <v>835</v>
      </c>
      <c r="B213" s="395" t="s">
        <v>852</v>
      </c>
      <c r="C213" s="395" t="s">
        <v>856</v>
      </c>
      <c r="D213" s="395" t="s">
        <v>854</v>
      </c>
      <c r="E213" s="395"/>
      <c r="F213" s="395"/>
      <c r="G213" s="395"/>
      <c r="H213" s="396"/>
      <c r="I213" s="396"/>
      <c r="J213" s="574" t="s">
        <v>1103</v>
      </c>
      <c r="K213" s="416"/>
      <c r="L213" s="416"/>
      <c r="M213" s="416"/>
      <c r="N213" s="416">
        <f t="shared" si="81"/>
        <v>0</v>
      </c>
      <c r="O213" s="416"/>
      <c r="P213" s="416"/>
      <c r="Q213" s="416"/>
      <c r="R213" s="416"/>
      <c r="S213" s="416"/>
      <c r="T213" s="416"/>
      <c r="U213" s="903">
        <v>0</v>
      </c>
      <c r="V213" s="395"/>
      <c r="W213" s="398" t="s">
        <v>1145</v>
      </c>
      <c r="X213" s="398" t="s">
        <v>1105</v>
      </c>
      <c r="Y213" s="571" t="s">
        <v>838</v>
      </c>
    </row>
    <row r="214" spans="1:25" s="137" customFormat="1" ht="22.5" customHeight="1" thickTop="1" thickBot="1">
      <c r="A214" s="394" t="s">
        <v>835</v>
      </c>
      <c r="B214" s="391" t="s">
        <v>852</v>
      </c>
      <c r="C214" s="391" t="s">
        <v>907</v>
      </c>
      <c r="D214" s="391"/>
      <c r="E214" s="391"/>
      <c r="F214" s="391"/>
      <c r="G214" s="391"/>
      <c r="H214" s="392"/>
      <c r="I214" s="392"/>
      <c r="J214" s="417" t="s">
        <v>1146</v>
      </c>
      <c r="K214" s="418">
        <f>+K215+K219+K221+K222+K223+K226+K227+K228+K229+K230+K231+K232+K236+K241</f>
        <v>0</v>
      </c>
      <c r="L214" s="418">
        <f>+L215+L219+L221+L222+L223+L226+L227+L228+L229+L230+L231+L232+L236+L241</f>
        <v>2387160427</v>
      </c>
      <c r="M214" s="418">
        <f>+M215+M219+M221+M222+M223+M226+M227+M228+M229+M230+M231+M232+M236+M241</f>
        <v>0</v>
      </c>
      <c r="N214" s="418">
        <f t="shared" si="81"/>
        <v>2387160427</v>
      </c>
      <c r="O214" s="418">
        <f t="shared" ref="O214:T214" si="84">+O215+O219+O221+O222+O223+O226+O227+O228+O229+O230+O231+O232+O236+O241</f>
        <v>0</v>
      </c>
      <c r="P214" s="418">
        <f t="shared" si="84"/>
        <v>2387160427</v>
      </c>
      <c r="Q214" s="418">
        <f t="shared" si="84"/>
        <v>0</v>
      </c>
      <c r="R214" s="418">
        <f t="shared" si="84"/>
        <v>0</v>
      </c>
      <c r="S214" s="418">
        <f>+S215+S219+S221+S222+S223+S226+S227+S228+S229+S230+S231+S232+S236+S241</f>
        <v>0</v>
      </c>
      <c r="T214" s="418">
        <f t="shared" si="84"/>
        <v>47161427</v>
      </c>
      <c r="U214" s="893">
        <f>+T214/N214*100</f>
        <v>1.9756287204906817</v>
      </c>
      <c r="V214" s="391"/>
      <c r="W214" s="391" t="s">
        <v>1147</v>
      </c>
      <c r="X214" s="391"/>
      <c r="Y214" s="571" t="s">
        <v>838</v>
      </c>
    </row>
    <row r="215" spans="1:25" ht="22.5" customHeight="1" thickTop="1" thickBot="1">
      <c r="A215" s="398" t="s">
        <v>835</v>
      </c>
      <c r="B215" s="395" t="s">
        <v>852</v>
      </c>
      <c r="C215" s="395" t="s">
        <v>907</v>
      </c>
      <c r="D215" s="395" t="s">
        <v>839</v>
      </c>
      <c r="E215" s="395"/>
      <c r="F215" s="395"/>
      <c r="G215" s="395"/>
      <c r="H215" s="396"/>
      <c r="I215" s="396"/>
      <c r="J215" s="574" t="s">
        <v>1148</v>
      </c>
      <c r="K215" s="416">
        <f>+K216+K217+K218</f>
        <v>0</v>
      </c>
      <c r="L215" s="416">
        <f>+L216+L217+L218</f>
        <v>2387160427</v>
      </c>
      <c r="M215" s="416">
        <f>+M216+M217+M218</f>
        <v>0</v>
      </c>
      <c r="N215" s="416">
        <f t="shared" si="81"/>
        <v>2387160427</v>
      </c>
      <c r="O215" s="416">
        <f t="shared" ref="O215:T215" si="85">+O216+O217+O218</f>
        <v>0</v>
      </c>
      <c r="P215" s="416">
        <f t="shared" si="85"/>
        <v>2387160427</v>
      </c>
      <c r="Q215" s="416">
        <f t="shared" si="85"/>
        <v>0</v>
      </c>
      <c r="R215" s="416">
        <f t="shared" si="85"/>
        <v>0</v>
      </c>
      <c r="S215" s="416">
        <f>+S216+S217+S218</f>
        <v>0</v>
      </c>
      <c r="T215" s="416">
        <f t="shared" si="85"/>
        <v>47161427</v>
      </c>
      <c r="U215" s="894">
        <f>+T215/N215*100</f>
        <v>1.9756287204906817</v>
      </c>
      <c r="V215" s="395"/>
      <c r="W215" s="398"/>
      <c r="X215" s="398"/>
      <c r="Y215" s="571"/>
    </row>
    <row r="216" spans="1:25" ht="22.5" customHeight="1" thickTop="1" thickBot="1">
      <c r="A216" s="403" t="s">
        <v>835</v>
      </c>
      <c r="B216" s="399" t="s">
        <v>852</v>
      </c>
      <c r="C216" s="399" t="s">
        <v>907</v>
      </c>
      <c r="D216" s="399" t="s">
        <v>839</v>
      </c>
      <c r="E216" s="821" t="s">
        <v>839</v>
      </c>
      <c r="F216" s="399"/>
      <c r="G216" s="399"/>
      <c r="H216" s="399"/>
      <c r="I216" s="399"/>
      <c r="J216" s="576" t="s">
        <v>1149</v>
      </c>
      <c r="K216" s="419"/>
      <c r="L216" s="419"/>
      <c r="M216" s="419"/>
      <c r="N216" s="419">
        <f t="shared" si="81"/>
        <v>0</v>
      </c>
      <c r="O216" s="419"/>
      <c r="P216" s="419"/>
      <c r="Q216" s="419"/>
      <c r="R216" s="419"/>
      <c r="S216" s="419"/>
      <c r="T216" s="419"/>
      <c r="U216" s="899">
        <v>0</v>
      </c>
      <c r="V216" s="399"/>
      <c r="W216" s="403"/>
      <c r="X216" s="403"/>
      <c r="Y216" s="577"/>
    </row>
    <row r="217" spans="1:25" ht="22.5" customHeight="1" thickTop="1" thickBot="1">
      <c r="A217" s="403" t="s">
        <v>835</v>
      </c>
      <c r="B217" s="399" t="s">
        <v>852</v>
      </c>
      <c r="C217" s="399" t="s">
        <v>907</v>
      </c>
      <c r="D217" s="399" t="s">
        <v>839</v>
      </c>
      <c r="E217" s="821" t="s">
        <v>852</v>
      </c>
      <c r="F217" s="399"/>
      <c r="G217" s="399"/>
      <c r="H217" s="399"/>
      <c r="I217" s="399"/>
      <c r="J217" s="576" t="s">
        <v>1150</v>
      </c>
      <c r="K217" s="419"/>
      <c r="L217" s="419"/>
      <c r="M217" s="419"/>
      <c r="N217" s="419">
        <f t="shared" si="81"/>
        <v>0</v>
      </c>
      <c r="O217" s="419"/>
      <c r="P217" s="419"/>
      <c r="Q217" s="419"/>
      <c r="R217" s="419"/>
      <c r="S217" s="419"/>
      <c r="T217" s="419"/>
      <c r="U217" s="899">
        <v>0</v>
      </c>
      <c r="V217" s="399"/>
      <c r="W217" s="403"/>
      <c r="X217" s="403"/>
      <c r="Y217" s="577"/>
    </row>
    <row r="218" spans="1:25" s="137" customFormat="1" ht="22.5" customHeight="1" thickTop="1" thickBot="1">
      <c r="A218" s="403" t="s">
        <v>835</v>
      </c>
      <c r="B218" s="399" t="s">
        <v>852</v>
      </c>
      <c r="C218" s="399" t="s">
        <v>907</v>
      </c>
      <c r="D218" s="399" t="s">
        <v>839</v>
      </c>
      <c r="E218" s="821" t="s">
        <v>854</v>
      </c>
      <c r="F218" s="399"/>
      <c r="G218" s="399"/>
      <c r="H218" s="399"/>
      <c r="I218" s="399"/>
      <c r="J218" s="576" t="s">
        <v>1151</v>
      </c>
      <c r="K218" s="419"/>
      <c r="L218" s="419">
        <f>2340000000+47160427</f>
        <v>2387160427</v>
      </c>
      <c r="M218" s="419"/>
      <c r="N218" s="419">
        <f t="shared" si="81"/>
        <v>2387160427</v>
      </c>
      <c r="O218" s="419"/>
      <c r="P218" s="419">
        <v>2387160427</v>
      </c>
      <c r="Q218" s="419"/>
      <c r="R218" s="419"/>
      <c r="S218" s="419"/>
      <c r="T218" s="419">
        <v>47161427</v>
      </c>
      <c r="U218" s="902">
        <f>+T218/N218*100</f>
        <v>1.9756287204906817</v>
      </c>
      <c r="V218" s="399"/>
      <c r="W218" s="403"/>
      <c r="X218" s="403"/>
      <c r="Y218" s="577"/>
    </row>
    <row r="219" spans="1:25" s="137" customFormat="1" ht="22.5" customHeight="1" thickTop="1" thickBot="1">
      <c r="A219" s="398" t="s">
        <v>835</v>
      </c>
      <c r="B219" s="395" t="s">
        <v>852</v>
      </c>
      <c r="C219" s="395" t="s">
        <v>907</v>
      </c>
      <c r="D219" s="395" t="s">
        <v>852</v>
      </c>
      <c r="E219" s="395"/>
      <c r="F219" s="395"/>
      <c r="G219" s="395"/>
      <c r="H219" s="396"/>
      <c r="I219" s="396"/>
      <c r="J219" s="574" t="s">
        <v>989</v>
      </c>
      <c r="K219" s="416">
        <f>+K220</f>
        <v>0</v>
      </c>
      <c r="L219" s="416">
        <f>+L220</f>
        <v>0</v>
      </c>
      <c r="M219" s="416">
        <f>+M220</f>
        <v>0</v>
      </c>
      <c r="N219" s="416">
        <f t="shared" si="81"/>
        <v>0</v>
      </c>
      <c r="O219" s="416">
        <f t="shared" ref="O219:T219" si="86">+O220</f>
        <v>0</v>
      </c>
      <c r="P219" s="416">
        <f t="shared" si="86"/>
        <v>0</v>
      </c>
      <c r="Q219" s="416">
        <f t="shared" si="86"/>
        <v>0</v>
      </c>
      <c r="R219" s="416">
        <f t="shared" si="86"/>
        <v>0</v>
      </c>
      <c r="S219" s="416">
        <f>+S220</f>
        <v>0</v>
      </c>
      <c r="T219" s="416">
        <f t="shared" si="86"/>
        <v>0</v>
      </c>
      <c r="U219" s="908">
        <v>0</v>
      </c>
      <c r="V219" s="395"/>
      <c r="W219" s="398"/>
      <c r="X219" s="398"/>
      <c r="Y219" s="571" t="s">
        <v>838</v>
      </c>
    </row>
    <row r="220" spans="1:25" s="137" customFormat="1" ht="22.5" customHeight="1" thickTop="1" thickBot="1">
      <c r="A220" s="401" t="s">
        <v>835</v>
      </c>
      <c r="B220" s="821" t="s">
        <v>852</v>
      </c>
      <c r="C220" s="821" t="s">
        <v>907</v>
      </c>
      <c r="D220" s="821" t="s">
        <v>852</v>
      </c>
      <c r="E220" s="821" t="s">
        <v>839</v>
      </c>
      <c r="F220" s="821"/>
      <c r="G220" s="821"/>
      <c r="H220" s="399"/>
      <c r="I220" s="399"/>
      <c r="J220" s="575" t="s">
        <v>1152</v>
      </c>
      <c r="K220" s="414"/>
      <c r="L220" s="414"/>
      <c r="M220" s="414"/>
      <c r="N220" s="414">
        <f t="shared" si="81"/>
        <v>0</v>
      </c>
      <c r="O220" s="414"/>
      <c r="P220" s="414"/>
      <c r="Q220" s="414"/>
      <c r="R220" s="414"/>
      <c r="S220" s="414"/>
      <c r="T220" s="414"/>
      <c r="U220" s="909">
        <v>0</v>
      </c>
      <c r="V220" s="821"/>
      <c r="W220" s="401"/>
      <c r="X220" s="401"/>
      <c r="Y220" s="571" t="s">
        <v>838</v>
      </c>
    </row>
    <row r="221" spans="1:25" s="137" customFormat="1" ht="22.5" customHeight="1" thickTop="1" thickBot="1">
      <c r="A221" s="398" t="s">
        <v>835</v>
      </c>
      <c r="B221" s="395" t="s">
        <v>852</v>
      </c>
      <c r="C221" s="395" t="s">
        <v>907</v>
      </c>
      <c r="D221" s="395" t="s">
        <v>854</v>
      </c>
      <c r="E221" s="395"/>
      <c r="F221" s="395"/>
      <c r="G221" s="395"/>
      <c r="H221" s="396"/>
      <c r="I221" s="396"/>
      <c r="J221" s="574" t="s">
        <v>1153</v>
      </c>
      <c r="K221" s="416"/>
      <c r="L221" s="416"/>
      <c r="M221" s="416"/>
      <c r="N221" s="416">
        <f t="shared" si="81"/>
        <v>0</v>
      </c>
      <c r="O221" s="416"/>
      <c r="P221" s="416"/>
      <c r="Q221" s="416"/>
      <c r="R221" s="416"/>
      <c r="S221" s="416"/>
      <c r="T221" s="416"/>
      <c r="U221" s="908">
        <v>0</v>
      </c>
      <c r="V221" s="395"/>
      <c r="W221" s="398"/>
      <c r="X221" s="398"/>
      <c r="Y221" s="571" t="s">
        <v>838</v>
      </c>
    </row>
    <row r="222" spans="1:25" s="137" customFormat="1" ht="22.5" customHeight="1" thickTop="1" thickBot="1">
      <c r="A222" s="398" t="s">
        <v>835</v>
      </c>
      <c r="B222" s="395" t="s">
        <v>852</v>
      </c>
      <c r="C222" s="395" t="s">
        <v>907</v>
      </c>
      <c r="D222" s="395" t="s">
        <v>856</v>
      </c>
      <c r="E222" s="395"/>
      <c r="F222" s="395"/>
      <c r="G222" s="395"/>
      <c r="H222" s="396"/>
      <c r="I222" s="396"/>
      <c r="J222" s="574" t="s">
        <v>1154</v>
      </c>
      <c r="K222" s="416"/>
      <c r="L222" s="416"/>
      <c r="M222" s="416"/>
      <c r="N222" s="416">
        <f t="shared" si="81"/>
        <v>0</v>
      </c>
      <c r="O222" s="416"/>
      <c r="P222" s="416"/>
      <c r="Q222" s="416"/>
      <c r="R222" s="416"/>
      <c r="S222" s="416"/>
      <c r="T222" s="416"/>
      <c r="U222" s="908">
        <v>0</v>
      </c>
      <c r="V222" s="395"/>
      <c r="W222" s="398"/>
      <c r="X222" s="398"/>
      <c r="Y222" s="571" t="s">
        <v>838</v>
      </c>
    </row>
    <row r="223" spans="1:25" s="137" customFormat="1" ht="22.5" customHeight="1" thickTop="1" thickBot="1">
      <c r="A223" s="398" t="s">
        <v>835</v>
      </c>
      <c r="B223" s="395" t="s">
        <v>852</v>
      </c>
      <c r="C223" s="395" t="s">
        <v>907</v>
      </c>
      <c r="D223" s="395" t="s">
        <v>907</v>
      </c>
      <c r="E223" s="395"/>
      <c r="F223" s="395"/>
      <c r="G223" s="395"/>
      <c r="H223" s="396"/>
      <c r="I223" s="396"/>
      <c r="J223" s="574" t="s">
        <v>1155</v>
      </c>
      <c r="K223" s="416">
        <f>+K224+K225</f>
        <v>0</v>
      </c>
      <c r="L223" s="416">
        <f>+L224+L225</f>
        <v>0</v>
      </c>
      <c r="M223" s="416">
        <f>+M224+M225</f>
        <v>0</v>
      </c>
      <c r="N223" s="416">
        <f t="shared" si="81"/>
        <v>0</v>
      </c>
      <c r="O223" s="416">
        <f t="shared" ref="O223:T223" si="87">+O224+O225</f>
        <v>0</v>
      </c>
      <c r="P223" s="416">
        <f t="shared" si="87"/>
        <v>0</v>
      </c>
      <c r="Q223" s="416">
        <f t="shared" si="87"/>
        <v>0</v>
      </c>
      <c r="R223" s="416">
        <f t="shared" si="87"/>
        <v>0</v>
      </c>
      <c r="S223" s="416">
        <f>+S224+S225</f>
        <v>0</v>
      </c>
      <c r="T223" s="416">
        <f t="shared" si="87"/>
        <v>0</v>
      </c>
      <c r="U223" s="908">
        <v>0</v>
      </c>
      <c r="V223" s="395"/>
      <c r="W223" s="398"/>
      <c r="X223" s="398"/>
      <c r="Y223" s="571" t="s">
        <v>838</v>
      </c>
    </row>
    <row r="224" spans="1:25" s="137" customFormat="1" ht="22.5" customHeight="1" thickTop="1" thickBot="1">
      <c r="A224" s="401" t="s">
        <v>835</v>
      </c>
      <c r="B224" s="821" t="s">
        <v>852</v>
      </c>
      <c r="C224" s="821" t="s">
        <v>907</v>
      </c>
      <c r="D224" s="821" t="s">
        <v>907</v>
      </c>
      <c r="E224" s="821" t="s">
        <v>839</v>
      </c>
      <c r="F224" s="821"/>
      <c r="G224" s="821"/>
      <c r="H224" s="399"/>
      <c r="I224" s="399"/>
      <c r="J224" s="575" t="s">
        <v>1156</v>
      </c>
      <c r="K224" s="414"/>
      <c r="L224" s="414"/>
      <c r="M224" s="414"/>
      <c r="N224" s="414">
        <f t="shared" si="81"/>
        <v>0</v>
      </c>
      <c r="O224" s="414"/>
      <c r="P224" s="414"/>
      <c r="Q224" s="414"/>
      <c r="R224" s="414"/>
      <c r="S224" s="414"/>
      <c r="T224" s="414"/>
      <c r="U224" s="909">
        <v>0</v>
      </c>
      <c r="V224" s="821"/>
      <c r="W224" s="401"/>
      <c r="X224" s="401"/>
      <c r="Y224" s="571" t="s">
        <v>838</v>
      </c>
    </row>
    <row r="225" spans="1:25" s="137" customFormat="1" ht="22.5" customHeight="1" thickTop="1" thickBot="1">
      <c r="A225" s="401" t="s">
        <v>835</v>
      </c>
      <c r="B225" s="821" t="s">
        <v>852</v>
      </c>
      <c r="C225" s="821" t="s">
        <v>907</v>
      </c>
      <c r="D225" s="821" t="s">
        <v>907</v>
      </c>
      <c r="E225" s="821" t="s">
        <v>852</v>
      </c>
      <c r="F225" s="821"/>
      <c r="G225" s="821"/>
      <c r="H225" s="399"/>
      <c r="I225" s="399"/>
      <c r="J225" s="575" t="s">
        <v>1157</v>
      </c>
      <c r="K225" s="414"/>
      <c r="L225" s="414"/>
      <c r="M225" s="414"/>
      <c r="N225" s="414">
        <f t="shared" si="81"/>
        <v>0</v>
      </c>
      <c r="O225" s="414"/>
      <c r="P225" s="414"/>
      <c r="Q225" s="414"/>
      <c r="R225" s="414"/>
      <c r="S225" s="414"/>
      <c r="T225" s="414"/>
      <c r="U225" s="909">
        <v>0</v>
      </c>
      <c r="V225" s="401"/>
      <c r="W225" s="401"/>
      <c r="X225" s="401"/>
      <c r="Y225" s="571" t="s">
        <v>838</v>
      </c>
    </row>
    <row r="226" spans="1:25" s="137" customFormat="1" ht="22.5" customHeight="1" thickTop="1" thickBot="1">
      <c r="A226" s="398" t="s">
        <v>835</v>
      </c>
      <c r="B226" s="395" t="s">
        <v>852</v>
      </c>
      <c r="C226" s="395" t="s">
        <v>907</v>
      </c>
      <c r="D226" s="395" t="s">
        <v>930</v>
      </c>
      <c r="E226" s="395"/>
      <c r="F226" s="395"/>
      <c r="G226" s="395"/>
      <c r="H226" s="396"/>
      <c r="I226" s="396"/>
      <c r="J226" s="574" t="s">
        <v>1158</v>
      </c>
      <c r="K226" s="416"/>
      <c r="L226" s="416"/>
      <c r="M226" s="416"/>
      <c r="N226" s="416">
        <f t="shared" si="81"/>
        <v>0</v>
      </c>
      <c r="O226" s="416"/>
      <c r="P226" s="416"/>
      <c r="Q226" s="416"/>
      <c r="R226" s="416"/>
      <c r="S226" s="416"/>
      <c r="T226" s="416"/>
      <c r="U226" s="908">
        <v>0</v>
      </c>
      <c r="V226" s="395"/>
      <c r="W226" s="398"/>
      <c r="X226" s="398"/>
      <c r="Y226" s="571" t="s">
        <v>838</v>
      </c>
    </row>
    <row r="227" spans="1:25" s="137" customFormat="1" ht="22.5" customHeight="1" thickTop="1" thickBot="1">
      <c r="A227" s="398" t="s">
        <v>835</v>
      </c>
      <c r="B227" s="395" t="s">
        <v>852</v>
      </c>
      <c r="C227" s="395" t="s">
        <v>907</v>
      </c>
      <c r="D227" s="395" t="s">
        <v>934</v>
      </c>
      <c r="E227" s="395"/>
      <c r="F227" s="395"/>
      <c r="G227" s="395"/>
      <c r="H227" s="396"/>
      <c r="I227" s="396"/>
      <c r="J227" s="574" t="s">
        <v>1159</v>
      </c>
      <c r="K227" s="416"/>
      <c r="L227" s="416"/>
      <c r="M227" s="416"/>
      <c r="N227" s="416">
        <f t="shared" si="81"/>
        <v>0</v>
      </c>
      <c r="O227" s="416"/>
      <c r="P227" s="416"/>
      <c r="Q227" s="416"/>
      <c r="R227" s="416"/>
      <c r="S227" s="416"/>
      <c r="T227" s="416"/>
      <c r="U227" s="908">
        <v>0</v>
      </c>
      <c r="V227" s="395"/>
      <c r="W227" s="398"/>
      <c r="X227" s="398"/>
      <c r="Y227" s="571" t="s">
        <v>838</v>
      </c>
    </row>
    <row r="228" spans="1:25" s="137" customFormat="1" ht="22.5" customHeight="1" thickTop="1" thickBot="1">
      <c r="A228" s="398" t="s">
        <v>835</v>
      </c>
      <c r="B228" s="395" t="s">
        <v>852</v>
      </c>
      <c r="C228" s="395" t="s">
        <v>907</v>
      </c>
      <c r="D228" s="395" t="s">
        <v>938</v>
      </c>
      <c r="E228" s="395"/>
      <c r="F228" s="395"/>
      <c r="G228" s="395"/>
      <c r="H228" s="396"/>
      <c r="I228" s="396"/>
      <c r="J228" s="574" t="s">
        <v>1160</v>
      </c>
      <c r="K228" s="416"/>
      <c r="L228" s="416"/>
      <c r="M228" s="416"/>
      <c r="N228" s="416">
        <f t="shared" si="81"/>
        <v>0</v>
      </c>
      <c r="O228" s="416"/>
      <c r="P228" s="416"/>
      <c r="Q228" s="416"/>
      <c r="R228" s="416"/>
      <c r="S228" s="416"/>
      <c r="T228" s="416"/>
      <c r="U228" s="908">
        <v>0</v>
      </c>
      <c r="V228" s="395"/>
      <c r="W228" s="398"/>
      <c r="X228" s="398"/>
      <c r="Y228" s="571" t="s">
        <v>838</v>
      </c>
    </row>
    <row r="229" spans="1:25" s="137" customFormat="1" ht="22.5" customHeight="1" thickTop="1" thickBot="1">
      <c r="A229" s="398" t="s">
        <v>835</v>
      </c>
      <c r="B229" s="395" t="s">
        <v>852</v>
      </c>
      <c r="C229" s="395" t="s">
        <v>907</v>
      </c>
      <c r="D229" s="395" t="s">
        <v>1079</v>
      </c>
      <c r="E229" s="395"/>
      <c r="F229" s="395"/>
      <c r="G229" s="395"/>
      <c r="H229" s="396"/>
      <c r="I229" s="396"/>
      <c r="J229" s="574" t="s">
        <v>1161</v>
      </c>
      <c r="K229" s="416"/>
      <c r="L229" s="416"/>
      <c r="M229" s="416"/>
      <c r="N229" s="416">
        <f t="shared" si="81"/>
        <v>0</v>
      </c>
      <c r="O229" s="416"/>
      <c r="P229" s="416"/>
      <c r="Q229" s="416"/>
      <c r="R229" s="416"/>
      <c r="S229" s="416"/>
      <c r="T229" s="416"/>
      <c r="U229" s="908">
        <v>0</v>
      </c>
      <c r="V229" s="395"/>
      <c r="W229" s="398"/>
      <c r="X229" s="398"/>
      <c r="Y229" s="571" t="s">
        <v>838</v>
      </c>
    </row>
    <row r="230" spans="1:25" s="137" customFormat="1" ht="22.5" customHeight="1" thickTop="1" thickBot="1">
      <c r="A230" s="398" t="s">
        <v>835</v>
      </c>
      <c r="B230" s="395" t="s">
        <v>852</v>
      </c>
      <c r="C230" s="395" t="s">
        <v>907</v>
      </c>
      <c r="D230" s="395" t="s">
        <v>1081</v>
      </c>
      <c r="E230" s="395"/>
      <c r="F230" s="395"/>
      <c r="G230" s="395"/>
      <c r="H230" s="396"/>
      <c r="I230" s="396"/>
      <c r="J230" s="574" t="s">
        <v>1162</v>
      </c>
      <c r="K230" s="416"/>
      <c r="L230" s="416"/>
      <c r="M230" s="416"/>
      <c r="N230" s="416">
        <f t="shared" si="81"/>
        <v>0</v>
      </c>
      <c r="O230" s="416"/>
      <c r="P230" s="416"/>
      <c r="Q230" s="416"/>
      <c r="R230" s="416"/>
      <c r="S230" s="416"/>
      <c r="T230" s="416"/>
      <c r="U230" s="908">
        <v>0</v>
      </c>
      <c r="V230" s="395"/>
      <c r="W230" s="398"/>
      <c r="X230" s="398"/>
      <c r="Y230" s="571" t="s">
        <v>838</v>
      </c>
    </row>
    <row r="231" spans="1:25" s="137" customFormat="1" ht="22.5" customHeight="1" thickTop="1" thickBot="1">
      <c r="A231" s="398" t="s">
        <v>835</v>
      </c>
      <c r="B231" s="395" t="s">
        <v>852</v>
      </c>
      <c r="C231" s="395" t="s">
        <v>907</v>
      </c>
      <c r="D231" s="395" t="s">
        <v>1083</v>
      </c>
      <c r="E231" s="395"/>
      <c r="F231" s="395"/>
      <c r="G231" s="395"/>
      <c r="H231" s="396"/>
      <c r="I231" s="396"/>
      <c r="J231" s="574" t="s">
        <v>1163</v>
      </c>
      <c r="K231" s="416"/>
      <c r="L231" s="416"/>
      <c r="M231" s="416"/>
      <c r="N231" s="416">
        <f t="shared" si="81"/>
        <v>0</v>
      </c>
      <c r="O231" s="416"/>
      <c r="P231" s="416"/>
      <c r="Q231" s="416"/>
      <c r="R231" s="416"/>
      <c r="S231" s="416"/>
      <c r="T231" s="416"/>
      <c r="U231" s="908">
        <v>0</v>
      </c>
      <c r="V231" s="395"/>
      <c r="W231" s="398" t="s">
        <v>1164</v>
      </c>
      <c r="X231" s="398"/>
      <c r="Y231" s="571" t="s">
        <v>838</v>
      </c>
    </row>
    <row r="232" spans="1:25" s="137" customFormat="1" ht="22.5" customHeight="1" thickTop="1" thickBot="1">
      <c r="A232" s="398" t="s">
        <v>835</v>
      </c>
      <c r="B232" s="395" t="s">
        <v>852</v>
      </c>
      <c r="C232" s="395" t="s">
        <v>907</v>
      </c>
      <c r="D232" s="395" t="s">
        <v>1085</v>
      </c>
      <c r="E232" s="395"/>
      <c r="F232" s="395"/>
      <c r="G232" s="395"/>
      <c r="H232" s="396"/>
      <c r="I232" s="396"/>
      <c r="J232" s="574" t="s">
        <v>1165</v>
      </c>
      <c r="K232" s="416">
        <f>+K233+K234+K235</f>
        <v>0</v>
      </c>
      <c r="L232" s="416">
        <f>+L233+L234+L235</f>
        <v>0</v>
      </c>
      <c r="M232" s="416">
        <f>+M233+M234+M235</f>
        <v>0</v>
      </c>
      <c r="N232" s="416">
        <f t="shared" si="81"/>
        <v>0</v>
      </c>
      <c r="O232" s="416">
        <f t="shared" ref="O232:T232" si="88">+O233+O234+O235</f>
        <v>0</v>
      </c>
      <c r="P232" s="416">
        <f t="shared" si="88"/>
        <v>0</v>
      </c>
      <c r="Q232" s="416">
        <f t="shared" si="88"/>
        <v>0</v>
      </c>
      <c r="R232" s="416">
        <f t="shared" si="88"/>
        <v>0</v>
      </c>
      <c r="S232" s="416">
        <f>+S233+S234+S235</f>
        <v>0</v>
      </c>
      <c r="T232" s="416">
        <f t="shared" si="88"/>
        <v>0</v>
      </c>
      <c r="U232" s="908">
        <v>0</v>
      </c>
      <c r="V232" s="395"/>
      <c r="W232" s="398" t="s">
        <v>1166</v>
      </c>
      <c r="X232" s="398"/>
      <c r="Y232" s="571" t="s">
        <v>838</v>
      </c>
    </row>
    <row r="233" spans="1:25" s="137" customFormat="1" ht="22.5" customHeight="1" thickTop="1" thickBot="1">
      <c r="A233" s="401" t="s">
        <v>835</v>
      </c>
      <c r="B233" s="821" t="s">
        <v>852</v>
      </c>
      <c r="C233" s="821" t="s">
        <v>907</v>
      </c>
      <c r="D233" s="821" t="s">
        <v>1085</v>
      </c>
      <c r="E233" s="821" t="s">
        <v>839</v>
      </c>
      <c r="F233" s="821"/>
      <c r="G233" s="821"/>
      <c r="H233" s="399"/>
      <c r="I233" s="399"/>
      <c r="J233" s="575" t="s">
        <v>1167</v>
      </c>
      <c r="K233" s="414"/>
      <c r="L233" s="414"/>
      <c r="M233" s="414"/>
      <c r="N233" s="414">
        <f t="shared" si="81"/>
        <v>0</v>
      </c>
      <c r="O233" s="414"/>
      <c r="P233" s="414"/>
      <c r="Q233" s="414"/>
      <c r="R233" s="414"/>
      <c r="S233" s="414"/>
      <c r="T233" s="414"/>
      <c r="U233" s="909">
        <v>0</v>
      </c>
      <c r="V233" s="401"/>
      <c r="W233" s="401" t="s">
        <v>1168</v>
      </c>
      <c r="X233" s="401"/>
      <c r="Y233" s="571" t="s">
        <v>838</v>
      </c>
    </row>
    <row r="234" spans="1:25" s="137" customFormat="1" ht="22.5" customHeight="1" thickTop="1" thickBot="1">
      <c r="A234" s="401" t="s">
        <v>835</v>
      </c>
      <c r="B234" s="821" t="s">
        <v>852</v>
      </c>
      <c r="C234" s="821" t="s">
        <v>907</v>
      </c>
      <c r="D234" s="821" t="s">
        <v>1085</v>
      </c>
      <c r="E234" s="821" t="s">
        <v>852</v>
      </c>
      <c r="F234" s="821"/>
      <c r="G234" s="821"/>
      <c r="H234" s="399"/>
      <c r="I234" s="399"/>
      <c r="J234" s="575" t="s">
        <v>1169</v>
      </c>
      <c r="K234" s="414"/>
      <c r="L234" s="414"/>
      <c r="M234" s="414"/>
      <c r="N234" s="414">
        <f t="shared" si="81"/>
        <v>0</v>
      </c>
      <c r="O234" s="414"/>
      <c r="P234" s="414"/>
      <c r="Q234" s="414"/>
      <c r="R234" s="414"/>
      <c r="S234" s="414"/>
      <c r="T234" s="414"/>
      <c r="U234" s="909">
        <v>0</v>
      </c>
      <c r="V234" s="821"/>
      <c r="W234" s="401" t="s">
        <v>1170</v>
      </c>
      <c r="X234" s="401"/>
      <c r="Y234" s="571" t="s">
        <v>838</v>
      </c>
    </row>
    <row r="235" spans="1:25" s="137" customFormat="1" ht="22.5" customHeight="1" thickTop="1" thickBot="1">
      <c r="A235" s="401" t="s">
        <v>835</v>
      </c>
      <c r="B235" s="821" t="s">
        <v>852</v>
      </c>
      <c r="C235" s="821" t="s">
        <v>907</v>
      </c>
      <c r="D235" s="821" t="s">
        <v>1085</v>
      </c>
      <c r="E235" s="821" t="s">
        <v>854</v>
      </c>
      <c r="F235" s="821"/>
      <c r="G235" s="821"/>
      <c r="H235" s="399"/>
      <c r="I235" s="399"/>
      <c r="J235" s="575" t="s">
        <v>1171</v>
      </c>
      <c r="K235" s="414"/>
      <c r="L235" s="414"/>
      <c r="M235" s="414"/>
      <c r="N235" s="414">
        <f t="shared" si="81"/>
        <v>0</v>
      </c>
      <c r="O235" s="414"/>
      <c r="P235" s="414"/>
      <c r="Q235" s="414"/>
      <c r="R235" s="414"/>
      <c r="S235" s="414"/>
      <c r="T235" s="414"/>
      <c r="U235" s="909">
        <v>0</v>
      </c>
      <c r="V235" s="401"/>
      <c r="W235" s="401" t="s">
        <v>1172</v>
      </c>
      <c r="X235" s="401"/>
      <c r="Y235" s="571" t="s">
        <v>838</v>
      </c>
    </row>
    <row r="236" spans="1:25" s="137" customFormat="1" ht="22.5" customHeight="1" thickTop="1" thickBot="1">
      <c r="A236" s="398" t="s">
        <v>835</v>
      </c>
      <c r="B236" s="395" t="s">
        <v>852</v>
      </c>
      <c r="C236" s="395" t="s">
        <v>907</v>
      </c>
      <c r="D236" s="395" t="s">
        <v>1173</v>
      </c>
      <c r="E236" s="395"/>
      <c r="F236" s="395"/>
      <c r="G236" s="395"/>
      <c r="H236" s="396"/>
      <c r="I236" s="396"/>
      <c r="J236" s="574" t="s">
        <v>1174</v>
      </c>
      <c r="K236" s="416">
        <f>+K237+K240</f>
        <v>0</v>
      </c>
      <c r="L236" s="416">
        <f>+L237+L240</f>
        <v>0</v>
      </c>
      <c r="M236" s="416">
        <f>+M237+M240</f>
        <v>0</v>
      </c>
      <c r="N236" s="416">
        <f t="shared" si="81"/>
        <v>0</v>
      </c>
      <c r="O236" s="416">
        <f t="shared" ref="O236:T236" si="89">+O237+O240</f>
        <v>0</v>
      </c>
      <c r="P236" s="416">
        <f t="shared" si="89"/>
        <v>0</v>
      </c>
      <c r="Q236" s="416">
        <f t="shared" si="89"/>
        <v>0</v>
      </c>
      <c r="R236" s="416">
        <f t="shared" si="89"/>
        <v>0</v>
      </c>
      <c r="S236" s="416">
        <f>+S237+S240</f>
        <v>0</v>
      </c>
      <c r="T236" s="416">
        <f t="shared" si="89"/>
        <v>0</v>
      </c>
      <c r="U236" s="908">
        <v>0</v>
      </c>
      <c r="V236" s="395"/>
      <c r="W236" s="395" t="s">
        <v>1175</v>
      </c>
      <c r="X236" s="395"/>
      <c r="Y236" s="571" t="s">
        <v>838</v>
      </c>
    </row>
    <row r="237" spans="1:25" ht="22.5" customHeight="1" thickTop="1" thickBot="1">
      <c r="A237" s="401" t="s">
        <v>835</v>
      </c>
      <c r="B237" s="821" t="s">
        <v>852</v>
      </c>
      <c r="C237" s="821" t="s">
        <v>907</v>
      </c>
      <c r="D237" s="821" t="s">
        <v>1173</v>
      </c>
      <c r="E237" s="821" t="s">
        <v>839</v>
      </c>
      <c r="F237" s="821"/>
      <c r="G237" s="821"/>
      <c r="H237" s="399"/>
      <c r="I237" s="399"/>
      <c r="J237" s="575" t="s">
        <v>1176</v>
      </c>
      <c r="K237" s="420">
        <f>+K238+K239</f>
        <v>0</v>
      </c>
      <c r="L237" s="420">
        <f>+L238+L239</f>
        <v>0</v>
      </c>
      <c r="M237" s="420">
        <f>+M238+M239</f>
        <v>0</v>
      </c>
      <c r="N237" s="420">
        <f t="shared" si="81"/>
        <v>0</v>
      </c>
      <c r="O237" s="420">
        <f t="shared" ref="O237:T237" si="90">+O238+O239</f>
        <v>0</v>
      </c>
      <c r="P237" s="420">
        <f t="shared" si="90"/>
        <v>0</v>
      </c>
      <c r="Q237" s="420">
        <f t="shared" si="90"/>
        <v>0</v>
      </c>
      <c r="R237" s="420">
        <f t="shared" si="90"/>
        <v>0</v>
      </c>
      <c r="S237" s="420">
        <f>+S238+S239</f>
        <v>0</v>
      </c>
      <c r="T237" s="420">
        <f t="shared" si="90"/>
        <v>0</v>
      </c>
      <c r="U237" s="910">
        <v>0</v>
      </c>
      <c r="V237" s="821"/>
      <c r="W237" s="821" t="s">
        <v>1177</v>
      </c>
      <c r="X237" s="821"/>
      <c r="Y237" s="571" t="s">
        <v>838</v>
      </c>
    </row>
    <row r="238" spans="1:25" ht="22.5" customHeight="1" thickTop="1" thickBot="1">
      <c r="A238" s="403" t="s">
        <v>835</v>
      </c>
      <c r="B238" s="399" t="s">
        <v>852</v>
      </c>
      <c r="C238" s="399" t="s">
        <v>907</v>
      </c>
      <c r="D238" s="399" t="s">
        <v>1173</v>
      </c>
      <c r="E238" s="399" t="s">
        <v>839</v>
      </c>
      <c r="F238" s="821" t="s">
        <v>839</v>
      </c>
      <c r="G238" s="399"/>
      <c r="H238" s="399"/>
      <c r="I238" s="399"/>
      <c r="J238" s="576" t="s">
        <v>1178</v>
      </c>
      <c r="K238" s="420"/>
      <c r="L238" s="420"/>
      <c r="M238" s="420"/>
      <c r="N238" s="420">
        <f t="shared" si="81"/>
        <v>0</v>
      </c>
      <c r="O238" s="420"/>
      <c r="P238" s="420"/>
      <c r="Q238" s="420"/>
      <c r="R238" s="420"/>
      <c r="S238" s="420"/>
      <c r="T238" s="420"/>
      <c r="U238" s="910">
        <v>0</v>
      </c>
      <c r="V238" s="821"/>
      <c r="W238" s="821"/>
      <c r="X238" s="821"/>
      <c r="Y238" s="571"/>
    </row>
    <row r="239" spans="1:25" s="137" customFormat="1" ht="22.5" customHeight="1" thickTop="1" thickBot="1">
      <c r="A239" s="403" t="s">
        <v>835</v>
      </c>
      <c r="B239" s="399" t="s">
        <v>852</v>
      </c>
      <c r="C239" s="399" t="s">
        <v>907</v>
      </c>
      <c r="D239" s="399" t="s">
        <v>1173</v>
      </c>
      <c r="E239" s="399" t="s">
        <v>839</v>
      </c>
      <c r="F239" s="821" t="s">
        <v>852</v>
      </c>
      <c r="G239" s="399"/>
      <c r="H239" s="399"/>
      <c r="I239" s="399"/>
      <c r="J239" s="576" t="s">
        <v>1179</v>
      </c>
      <c r="K239" s="420"/>
      <c r="L239" s="420"/>
      <c r="M239" s="420"/>
      <c r="N239" s="420">
        <f t="shared" si="81"/>
        <v>0</v>
      </c>
      <c r="O239" s="420"/>
      <c r="P239" s="420"/>
      <c r="Q239" s="420"/>
      <c r="R239" s="420"/>
      <c r="S239" s="420"/>
      <c r="T239" s="420"/>
      <c r="U239" s="910">
        <v>0</v>
      </c>
      <c r="V239" s="821"/>
      <c r="W239" s="821"/>
      <c r="X239" s="821"/>
      <c r="Y239" s="571"/>
    </row>
    <row r="240" spans="1:25" s="137" customFormat="1" ht="22.5" customHeight="1" thickTop="1" thickBot="1">
      <c r="A240" s="401" t="s">
        <v>835</v>
      </c>
      <c r="B240" s="821" t="s">
        <v>852</v>
      </c>
      <c r="C240" s="821" t="s">
        <v>907</v>
      </c>
      <c r="D240" s="821" t="s">
        <v>1173</v>
      </c>
      <c r="E240" s="821" t="s">
        <v>852</v>
      </c>
      <c r="F240" s="821"/>
      <c r="G240" s="821"/>
      <c r="H240" s="399"/>
      <c r="I240" s="399"/>
      <c r="J240" s="575" t="s">
        <v>1180</v>
      </c>
      <c r="K240" s="420"/>
      <c r="L240" s="420"/>
      <c r="M240" s="420"/>
      <c r="N240" s="420">
        <f t="shared" si="81"/>
        <v>0</v>
      </c>
      <c r="O240" s="420"/>
      <c r="P240" s="420"/>
      <c r="Q240" s="420"/>
      <c r="R240" s="420"/>
      <c r="S240" s="420"/>
      <c r="T240" s="420"/>
      <c r="U240" s="910">
        <v>0</v>
      </c>
      <c r="V240" s="821"/>
      <c r="W240" s="821"/>
      <c r="X240" s="821"/>
      <c r="Y240" s="571" t="s">
        <v>838</v>
      </c>
    </row>
    <row r="241" spans="1:25" ht="22.5" customHeight="1" thickTop="1" thickBot="1">
      <c r="A241" s="398">
        <v>1</v>
      </c>
      <c r="B241" s="395" t="s">
        <v>852</v>
      </c>
      <c r="C241" s="395" t="s">
        <v>907</v>
      </c>
      <c r="D241" s="395" t="s">
        <v>1181</v>
      </c>
      <c r="E241" s="395"/>
      <c r="F241" s="395"/>
      <c r="G241" s="395"/>
      <c r="H241" s="396"/>
      <c r="I241" s="396"/>
      <c r="J241" s="574" t="s">
        <v>1182</v>
      </c>
      <c r="K241" s="416">
        <f>+K242+K243</f>
        <v>0</v>
      </c>
      <c r="L241" s="416">
        <f>+L242+L243</f>
        <v>0</v>
      </c>
      <c r="M241" s="416">
        <f>+M242+M243</f>
        <v>0</v>
      </c>
      <c r="N241" s="416">
        <f t="shared" si="81"/>
        <v>0</v>
      </c>
      <c r="O241" s="416">
        <f t="shared" ref="O241:T241" si="91">+O242+O243</f>
        <v>0</v>
      </c>
      <c r="P241" s="416">
        <f t="shared" si="91"/>
        <v>0</v>
      </c>
      <c r="Q241" s="416">
        <f t="shared" si="91"/>
        <v>0</v>
      </c>
      <c r="R241" s="416">
        <f t="shared" si="91"/>
        <v>0</v>
      </c>
      <c r="S241" s="416">
        <f>+S242+S243</f>
        <v>0</v>
      </c>
      <c r="T241" s="416">
        <f t="shared" si="91"/>
        <v>0</v>
      </c>
      <c r="U241" s="908">
        <v>0</v>
      </c>
      <c r="V241" s="395"/>
      <c r="W241" s="395"/>
      <c r="X241" s="395"/>
      <c r="Y241" s="571"/>
    </row>
    <row r="242" spans="1:25" ht="22.5" customHeight="1" thickTop="1" thickBot="1">
      <c r="A242" s="403">
        <v>1</v>
      </c>
      <c r="B242" s="399" t="s">
        <v>852</v>
      </c>
      <c r="C242" s="399" t="s">
        <v>907</v>
      </c>
      <c r="D242" s="399" t="s">
        <v>1181</v>
      </c>
      <c r="E242" s="821" t="s">
        <v>839</v>
      </c>
      <c r="F242" s="399"/>
      <c r="G242" s="399"/>
      <c r="H242" s="399"/>
      <c r="I242" s="399"/>
      <c r="J242" s="576" t="s">
        <v>1183</v>
      </c>
      <c r="K242" s="419"/>
      <c r="L242" s="419"/>
      <c r="M242" s="419"/>
      <c r="N242" s="419">
        <f t="shared" si="81"/>
        <v>0</v>
      </c>
      <c r="O242" s="419"/>
      <c r="P242" s="419"/>
      <c r="Q242" s="419"/>
      <c r="R242" s="419"/>
      <c r="S242" s="419"/>
      <c r="T242" s="419"/>
      <c r="U242" s="911">
        <v>0</v>
      </c>
      <c r="V242" s="399"/>
      <c r="W242" s="399"/>
      <c r="X242" s="399"/>
      <c r="Y242" s="577"/>
    </row>
    <row r="243" spans="1:25" s="137" customFormat="1" ht="22.5" customHeight="1" thickTop="1" thickBot="1">
      <c r="A243" s="403">
        <v>1</v>
      </c>
      <c r="B243" s="399" t="s">
        <v>852</v>
      </c>
      <c r="C243" s="399" t="s">
        <v>907</v>
      </c>
      <c r="D243" s="399" t="s">
        <v>1181</v>
      </c>
      <c r="E243" s="821" t="s">
        <v>852</v>
      </c>
      <c r="F243" s="399"/>
      <c r="G243" s="399"/>
      <c r="H243" s="399"/>
      <c r="I243" s="399"/>
      <c r="J243" s="576" t="s">
        <v>1184</v>
      </c>
      <c r="K243" s="419"/>
      <c r="L243" s="419"/>
      <c r="M243" s="419"/>
      <c r="N243" s="419">
        <f t="shared" si="81"/>
        <v>0</v>
      </c>
      <c r="O243" s="419"/>
      <c r="P243" s="419"/>
      <c r="Q243" s="419"/>
      <c r="R243" s="419"/>
      <c r="S243" s="419"/>
      <c r="T243" s="419"/>
      <c r="U243" s="911">
        <v>0</v>
      </c>
      <c r="V243" s="399"/>
      <c r="W243" s="399"/>
      <c r="X243" s="399"/>
      <c r="Y243" s="577"/>
    </row>
    <row r="244" spans="1:25" s="137" customFormat="1" ht="22.5" customHeight="1" thickTop="1" thickBot="1">
      <c r="A244" s="394" t="s">
        <v>835</v>
      </c>
      <c r="B244" s="391" t="s">
        <v>852</v>
      </c>
      <c r="C244" s="391" t="s">
        <v>930</v>
      </c>
      <c r="D244" s="391"/>
      <c r="E244" s="391"/>
      <c r="F244" s="391"/>
      <c r="G244" s="391"/>
      <c r="H244" s="392"/>
      <c r="I244" s="392"/>
      <c r="J244" s="573" t="s">
        <v>1185</v>
      </c>
      <c r="K244" s="421">
        <f t="shared" ref="K244:T244" si="92">+K245+K247+K248+K254+K255+K256</f>
        <v>0</v>
      </c>
      <c r="L244" s="421">
        <f t="shared" si="92"/>
        <v>0</v>
      </c>
      <c r="M244" s="421">
        <f t="shared" si="92"/>
        <v>0</v>
      </c>
      <c r="N244" s="421">
        <f t="shared" si="92"/>
        <v>0</v>
      </c>
      <c r="O244" s="421">
        <f t="shared" si="92"/>
        <v>0</v>
      </c>
      <c r="P244" s="421">
        <f t="shared" si="92"/>
        <v>0</v>
      </c>
      <c r="Q244" s="421">
        <f t="shared" si="92"/>
        <v>0</v>
      </c>
      <c r="R244" s="421">
        <f t="shared" si="92"/>
        <v>0</v>
      </c>
      <c r="S244" s="421">
        <f t="shared" si="92"/>
        <v>0</v>
      </c>
      <c r="T244" s="421">
        <f t="shared" si="92"/>
        <v>0</v>
      </c>
      <c r="U244" s="912">
        <v>0</v>
      </c>
      <c r="V244" s="391"/>
      <c r="W244" s="391" t="s">
        <v>1186</v>
      </c>
      <c r="X244" s="391" t="s">
        <v>1187</v>
      </c>
      <c r="Y244" s="571" t="s">
        <v>838</v>
      </c>
    </row>
    <row r="245" spans="1:25" s="137" customFormat="1" ht="22.5" customHeight="1" thickTop="1" thickBot="1">
      <c r="A245" s="398" t="s">
        <v>835</v>
      </c>
      <c r="B245" s="395" t="s">
        <v>852</v>
      </c>
      <c r="C245" s="395" t="s">
        <v>930</v>
      </c>
      <c r="D245" s="395" t="s">
        <v>839</v>
      </c>
      <c r="E245" s="395"/>
      <c r="F245" s="395"/>
      <c r="G245" s="395"/>
      <c r="H245" s="396"/>
      <c r="I245" s="396"/>
      <c r="J245" s="574" t="s">
        <v>1188</v>
      </c>
      <c r="K245" s="416">
        <f>+K246</f>
        <v>0</v>
      </c>
      <c r="L245" s="416">
        <f>+L246</f>
        <v>0</v>
      </c>
      <c r="M245" s="416">
        <f>+M246</f>
        <v>0</v>
      </c>
      <c r="N245" s="416">
        <f t="shared" ref="N245:N302" si="93">K245+L245-M245</f>
        <v>0</v>
      </c>
      <c r="O245" s="416">
        <f t="shared" ref="O245:T245" si="94">+O246</f>
        <v>0</v>
      </c>
      <c r="P245" s="416">
        <f t="shared" si="94"/>
        <v>0</v>
      </c>
      <c r="Q245" s="416">
        <f t="shared" si="94"/>
        <v>0</v>
      </c>
      <c r="R245" s="416">
        <f t="shared" si="94"/>
        <v>0</v>
      </c>
      <c r="S245" s="416">
        <f t="shared" si="94"/>
        <v>0</v>
      </c>
      <c r="T245" s="416">
        <f t="shared" si="94"/>
        <v>0</v>
      </c>
      <c r="U245" s="908">
        <v>0</v>
      </c>
      <c r="V245" s="395"/>
      <c r="W245" s="398"/>
      <c r="X245" s="398"/>
      <c r="Y245" s="571" t="s">
        <v>838</v>
      </c>
    </row>
    <row r="246" spans="1:25" s="137" customFormat="1" ht="22.5" customHeight="1" thickTop="1" thickBot="1">
      <c r="A246" s="401" t="s">
        <v>835</v>
      </c>
      <c r="B246" s="821" t="s">
        <v>852</v>
      </c>
      <c r="C246" s="821" t="s">
        <v>930</v>
      </c>
      <c r="D246" s="821" t="s">
        <v>839</v>
      </c>
      <c r="E246" s="821" t="s">
        <v>839</v>
      </c>
      <c r="F246" s="821"/>
      <c r="G246" s="821"/>
      <c r="H246" s="399"/>
      <c r="I246" s="399"/>
      <c r="J246" s="575" t="s">
        <v>1189</v>
      </c>
      <c r="K246" s="414"/>
      <c r="L246" s="414"/>
      <c r="M246" s="414"/>
      <c r="N246" s="414">
        <f t="shared" si="93"/>
        <v>0</v>
      </c>
      <c r="O246" s="414"/>
      <c r="P246" s="414"/>
      <c r="Q246" s="414"/>
      <c r="R246" s="414"/>
      <c r="S246" s="414"/>
      <c r="T246" s="414"/>
      <c r="U246" s="909">
        <v>0</v>
      </c>
      <c r="V246" s="821"/>
      <c r="W246" s="401"/>
      <c r="X246" s="401"/>
      <c r="Y246" s="571" t="s">
        <v>838</v>
      </c>
    </row>
    <row r="247" spans="1:25" s="137" customFormat="1" ht="22.5" customHeight="1" thickTop="1" thickBot="1">
      <c r="A247" s="398" t="s">
        <v>835</v>
      </c>
      <c r="B247" s="395" t="s">
        <v>852</v>
      </c>
      <c r="C247" s="395" t="s">
        <v>930</v>
      </c>
      <c r="D247" s="395" t="s">
        <v>852</v>
      </c>
      <c r="E247" s="395"/>
      <c r="F247" s="395"/>
      <c r="G247" s="395"/>
      <c r="H247" s="396"/>
      <c r="I247" s="396"/>
      <c r="J247" s="574" t="s">
        <v>1190</v>
      </c>
      <c r="K247" s="416"/>
      <c r="L247" s="416"/>
      <c r="M247" s="416"/>
      <c r="N247" s="416">
        <f t="shared" si="93"/>
        <v>0</v>
      </c>
      <c r="O247" s="416"/>
      <c r="P247" s="416"/>
      <c r="Q247" s="416"/>
      <c r="R247" s="416"/>
      <c r="S247" s="416"/>
      <c r="T247" s="416"/>
      <c r="U247" s="908">
        <v>0</v>
      </c>
      <c r="V247" s="395"/>
      <c r="W247" s="398"/>
      <c r="X247" s="398"/>
      <c r="Y247" s="571" t="s">
        <v>838</v>
      </c>
    </row>
    <row r="248" spans="1:25" ht="22.5" customHeight="1" thickTop="1" thickBot="1">
      <c r="A248" s="398" t="s">
        <v>835</v>
      </c>
      <c r="B248" s="395" t="s">
        <v>852</v>
      </c>
      <c r="C248" s="395" t="s">
        <v>930</v>
      </c>
      <c r="D248" s="395" t="s">
        <v>854</v>
      </c>
      <c r="E248" s="395"/>
      <c r="F248" s="395"/>
      <c r="G248" s="395"/>
      <c r="H248" s="396"/>
      <c r="I248" s="396"/>
      <c r="J248" s="574" t="s">
        <v>1191</v>
      </c>
      <c r="K248" s="416">
        <f>+K249+K250+K251+K252+K253</f>
        <v>0</v>
      </c>
      <c r="L248" s="416">
        <f>+L249+L250+L251+L252+L253</f>
        <v>0</v>
      </c>
      <c r="M248" s="416">
        <f>+M249+M250+M251+M252+M253</f>
        <v>0</v>
      </c>
      <c r="N248" s="416">
        <f t="shared" si="93"/>
        <v>0</v>
      </c>
      <c r="O248" s="416">
        <f t="shared" ref="O248:T248" si="95">+O249+O250+O251+O252+O253</f>
        <v>0</v>
      </c>
      <c r="P248" s="416">
        <f t="shared" si="95"/>
        <v>0</v>
      </c>
      <c r="Q248" s="416">
        <f t="shared" si="95"/>
        <v>0</v>
      </c>
      <c r="R248" s="416">
        <f t="shared" si="95"/>
        <v>0</v>
      </c>
      <c r="S248" s="416">
        <f t="shared" si="95"/>
        <v>0</v>
      </c>
      <c r="T248" s="416">
        <f t="shared" si="95"/>
        <v>0</v>
      </c>
      <c r="U248" s="908">
        <v>0</v>
      </c>
      <c r="V248" s="395"/>
      <c r="W248" s="398"/>
      <c r="X248" s="398"/>
      <c r="Y248" s="571" t="s">
        <v>838</v>
      </c>
    </row>
    <row r="249" spans="1:25" ht="22.5" customHeight="1" thickTop="1" thickBot="1">
      <c r="A249" s="403" t="s">
        <v>835</v>
      </c>
      <c r="B249" s="399" t="s">
        <v>852</v>
      </c>
      <c r="C249" s="399" t="s">
        <v>930</v>
      </c>
      <c r="D249" s="399" t="s">
        <v>854</v>
      </c>
      <c r="E249" s="821" t="s">
        <v>839</v>
      </c>
      <c r="F249" s="399"/>
      <c r="G249" s="399"/>
      <c r="H249" s="399"/>
      <c r="I249" s="399"/>
      <c r="J249" s="576" t="s">
        <v>1192</v>
      </c>
      <c r="K249" s="415"/>
      <c r="L249" s="415"/>
      <c r="M249" s="415"/>
      <c r="N249" s="415">
        <f t="shared" si="93"/>
        <v>0</v>
      </c>
      <c r="O249" s="415"/>
      <c r="P249" s="415"/>
      <c r="Q249" s="415"/>
      <c r="R249" s="415"/>
      <c r="S249" s="415"/>
      <c r="T249" s="415"/>
      <c r="U249" s="913">
        <v>0</v>
      </c>
      <c r="V249" s="403"/>
      <c r="W249" s="403"/>
      <c r="X249" s="403"/>
      <c r="Y249" s="577" t="s">
        <v>838</v>
      </c>
    </row>
    <row r="250" spans="1:25" ht="22.5" customHeight="1" thickTop="1" thickBot="1">
      <c r="A250" s="403" t="s">
        <v>835</v>
      </c>
      <c r="B250" s="399" t="s">
        <v>852</v>
      </c>
      <c r="C250" s="399" t="s">
        <v>930</v>
      </c>
      <c r="D250" s="399" t="s">
        <v>854</v>
      </c>
      <c r="E250" s="821" t="s">
        <v>852</v>
      </c>
      <c r="F250" s="399"/>
      <c r="G250" s="399"/>
      <c r="H250" s="399"/>
      <c r="I250" s="399"/>
      <c r="J250" s="576" t="s">
        <v>1193</v>
      </c>
      <c r="K250" s="415"/>
      <c r="L250" s="415"/>
      <c r="M250" s="415"/>
      <c r="N250" s="415">
        <f t="shared" si="93"/>
        <v>0</v>
      </c>
      <c r="O250" s="415"/>
      <c r="P250" s="415"/>
      <c r="Q250" s="415"/>
      <c r="R250" s="415"/>
      <c r="S250" s="415"/>
      <c r="T250" s="415"/>
      <c r="U250" s="913">
        <v>0</v>
      </c>
      <c r="V250" s="403"/>
      <c r="W250" s="403"/>
      <c r="X250" s="403"/>
      <c r="Y250" s="577" t="s">
        <v>838</v>
      </c>
    </row>
    <row r="251" spans="1:25" ht="22.5" customHeight="1" thickTop="1" thickBot="1">
      <c r="A251" s="403" t="s">
        <v>835</v>
      </c>
      <c r="B251" s="399" t="s">
        <v>852</v>
      </c>
      <c r="C251" s="399" t="s">
        <v>930</v>
      </c>
      <c r="D251" s="399" t="s">
        <v>854</v>
      </c>
      <c r="E251" s="821" t="s">
        <v>854</v>
      </c>
      <c r="F251" s="399"/>
      <c r="G251" s="399"/>
      <c r="H251" s="399"/>
      <c r="I251" s="399"/>
      <c r="J251" s="576" t="s">
        <v>1194</v>
      </c>
      <c r="K251" s="415"/>
      <c r="L251" s="415"/>
      <c r="M251" s="415"/>
      <c r="N251" s="415">
        <f t="shared" si="93"/>
        <v>0</v>
      </c>
      <c r="O251" s="415"/>
      <c r="P251" s="415"/>
      <c r="Q251" s="415"/>
      <c r="R251" s="415"/>
      <c r="S251" s="415"/>
      <c r="T251" s="415"/>
      <c r="U251" s="913">
        <v>0</v>
      </c>
      <c r="V251" s="403"/>
      <c r="W251" s="403"/>
      <c r="X251" s="403"/>
      <c r="Y251" s="577" t="s">
        <v>838</v>
      </c>
    </row>
    <row r="252" spans="1:25" ht="22.5" customHeight="1" thickTop="1" thickBot="1">
      <c r="A252" s="403" t="s">
        <v>835</v>
      </c>
      <c r="B252" s="399" t="s">
        <v>852</v>
      </c>
      <c r="C252" s="399" t="s">
        <v>930</v>
      </c>
      <c r="D252" s="399" t="s">
        <v>854</v>
      </c>
      <c r="E252" s="821" t="s">
        <v>856</v>
      </c>
      <c r="F252" s="399"/>
      <c r="G252" s="399"/>
      <c r="H252" s="399"/>
      <c r="I252" s="399"/>
      <c r="J252" s="576" t="s">
        <v>1195</v>
      </c>
      <c r="K252" s="415"/>
      <c r="L252" s="415"/>
      <c r="M252" s="415"/>
      <c r="N252" s="415">
        <f t="shared" si="93"/>
        <v>0</v>
      </c>
      <c r="O252" s="415"/>
      <c r="P252" s="415"/>
      <c r="Q252" s="415"/>
      <c r="R252" s="415"/>
      <c r="S252" s="415"/>
      <c r="T252" s="415"/>
      <c r="U252" s="913">
        <v>0</v>
      </c>
      <c r="V252" s="403"/>
      <c r="W252" s="403"/>
      <c r="X252" s="403"/>
      <c r="Y252" s="577" t="s">
        <v>838</v>
      </c>
    </row>
    <row r="253" spans="1:25" s="137" customFormat="1" ht="22.5" customHeight="1" thickTop="1" thickBot="1">
      <c r="A253" s="403" t="s">
        <v>835</v>
      </c>
      <c r="B253" s="399" t="s">
        <v>852</v>
      </c>
      <c r="C253" s="399" t="s">
        <v>930</v>
      </c>
      <c r="D253" s="399" t="s">
        <v>854</v>
      </c>
      <c r="E253" s="821" t="s">
        <v>907</v>
      </c>
      <c r="F253" s="399"/>
      <c r="G253" s="399"/>
      <c r="H253" s="399"/>
      <c r="I253" s="399"/>
      <c r="J253" s="576" t="s">
        <v>1196</v>
      </c>
      <c r="K253" s="415"/>
      <c r="L253" s="415"/>
      <c r="M253" s="415"/>
      <c r="N253" s="415">
        <f t="shared" si="93"/>
        <v>0</v>
      </c>
      <c r="O253" s="415"/>
      <c r="P253" s="415"/>
      <c r="Q253" s="415"/>
      <c r="R253" s="415"/>
      <c r="S253" s="415"/>
      <c r="T253" s="415"/>
      <c r="U253" s="913">
        <v>0</v>
      </c>
      <c r="V253" s="403"/>
      <c r="W253" s="403"/>
      <c r="X253" s="403"/>
      <c r="Y253" s="577" t="s">
        <v>838</v>
      </c>
    </row>
    <row r="254" spans="1:25" s="137" customFormat="1" ht="22.5" customHeight="1" thickTop="1" thickBot="1">
      <c r="A254" s="398" t="s">
        <v>835</v>
      </c>
      <c r="B254" s="395" t="s">
        <v>852</v>
      </c>
      <c r="C254" s="395" t="s">
        <v>930</v>
      </c>
      <c r="D254" s="395" t="s">
        <v>856</v>
      </c>
      <c r="E254" s="395"/>
      <c r="F254" s="395"/>
      <c r="G254" s="395"/>
      <c r="H254" s="396"/>
      <c r="I254" s="396"/>
      <c r="J254" s="574" t="s">
        <v>1197</v>
      </c>
      <c r="K254" s="416"/>
      <c r="L254" s="416"/>
      <c r="M254" s="416"/>
      <c r="N254" s="416">
        <f t="shared" si="93"/>
        <v>0</v>
      </c>
      <c r="O254" s="416"/>
      <c r="P254" s="416"/>
      <c r="Q254" s="416"/>
      <c r="R254" s="416"/>
      <c r="S254" s="416"/>
      <c r="T254" s="416"/>
      <c r="U254" s="908">
        <v>0</v>
      </c>
      <c r="V254" s="395"/>
      <c r="W254" s="398"/>
      <c r="X254" s="398"/>
      <c r="Y254" s="571" t="s">
        <v>838</v>
      </c>
    </row>
    <row r="255" spans="1:25" s="137" customFormat="1" ht="22.5" customHeight="1" thickTop="1" thickBot="1">
      <c r="A255" s="398" t="s">
        <v>835</v>
      </c>
      <c r="B255" s="395" t="s">
        <v>852</v>
      </c>
      <c r="C255" s="395" t="s">
        <v>930</v>
      </c>
      <c r="D255" s="395" t="s">
        <v>907</v>
      </c>
      <c r="E255" s="395"/>
      <c r="F255" s="395"/>
      <c r="G255" s="395"/>
      <c r="H255" s="396"/>
      <c r="I255" s="396"/>
      <c r="J255" s="574" t="s">
        <v>1198</v>
      </c>
      <c r="K255" s="416"/>
      <c r="L255" s="416"/>
      <c r="M255" s="416"/>
      <c r="N255" s="416">
        <f t="shared" si="93"/>
        <v>0</v>
      </c>
      <c r="O255" s="416"/>
      <c r="P255" s="416"/>
      <c r="Q255" s="416"/>
      <c r="R255" s="416"/>
      <c r="S255" s="416"/>
      <c r="T255" s="416"/>
      <c r="U255" s="908">
        <v>0</v>
      </c>
      <c r="V255" s="395"/>
      <c r="W255" s="398"/>
      <c r="X255" s="398"/>
      <c r="Y255" s="571" t="s">
        <v>838</v>
      </c>
    </row>
    <row r="256" spans="1:25" s="137" customFormat="1" ht="22.5" customHeight="1" thickTop="1" thickBot="1">
      <c r="A256" s="398">
        <v>1</v>
      </c>
      <c r="B256" s="395" t="s">
        <v>852</v>
      </c>
      <c r="C256" s="395" t="s">
        <v>930</v>
      </c>
      <c r="D256" s="395" t="s">
        <v>930</v>
      </c>
      <c r="E256" s="395"/>
      <c r="F256" s="395"/>
      <c r="G256" s="395"/>
      <c r="H256" s="396"/>
      <c r="I256" s="396"/>
      <c r="J256" s="574" t="s">
        <v>1199</v>
      </c>
      <c r="K256" s="416"/>
      <c r="L256" s="416"/>
      <c r="M256" s="416"/>
      <c r="N256" s="416">
        <f t="shared" si="93"/>
        <v>0</v>
      </c>
      <c r="O256" s="416"/>
      <c r="P256" s="416"/>
      <c r="Q256" s="416"/>
      <c r="R256" s="416"/>
      <c r="S256" s="416"/>
      <c r="T256" s="416"/>
      <c r="U256" s="908">
        <v>0</v>
      </c>
      <c r="V256" s="395"/>
      <c r="W256" s="398"/>
      <c r="X256" s="398"/>
      <c r="Y256" s="571"/>
    </row>
    <row r="257" spans="1:16372" s="137" customFormat="1" ht="22.5" customHeight="1" thickTop="1" thickBot="1">
      <c r="A257" s="394" t="s">
        <v>835</v>
      </c>
      <c r="B257" s="391" t="s">
        <v>852</v>
      </c>
      <c r="C257" s="391" t="s">
        <v>934</v>
      </c>
      <c r="D257" s="391"/>
      <c r="E257" s="391"/>
      <c r="F257" s="391"/>
      <c r="G257" s="391"/>
      <c r="H257" s="392"/>
      <c r="I257" s="392"/>
      <c r="J257" s="573" t="s">
        <v>1200</v>
      </c>
      <c r="K257" s="411">
        <f>+K258+K270+K282</f>
        <v>0</v>
      </c>
      <c r="L257" s="411">
        <f>+L258+L270+L282</f>
        <v>0</v>
      </c>
      <c r="M257" s="411">
        <f>+M258+M270+M282</f>
        <v>0</v>
      </c>
      <c r="N257" s="411">
        <f t="shared" si="93"/>
        <v>0</v>
      </c>
      <c r="O257" s="411">
        <f t="shared" ref="O257:T257" si="96">+O258+O270+O282</f>
        <v>0</v>
      </c>
      <c r="P257" s="411">
        <f t="shared" si="96"/>
        <v>0</v>
      </c>
      <c r="Q257" s="411">
        <f t="shared" si="96"/>
        <v>0</v>
      </c>
      <c r="R257" s="411">
        <f t="shared" si="96"/>
        <v>0</v>
      </c>
      <c r="S257" s="411">
        <f t="shared" si="96"/>
        <v>0</v>
      </c>
      <c r="T257" s="411">
        <f t="shared" si="96"/>
        <v>0</v>
      </c>
      <c r="U257" s="912">
        <v>0</v>
      </c>
      <c r="V257" s="391"/>
      <c r="W257" s="391" t="s">
        <v>1201</v>
      </c>
      <c r="X257" s="391"/>
      <c r="Y257" s="571" t="s">
        <v>838</v>
      </c>
    </row>
    <row r="258" spans="1:16372" s="137" customFormat="1" ht="22.5" customHeight="1" thickTop="1" thickBot="1">
      <c r="A258" s="398" t="s">
        <v>835</v>
      </c>
      <c r="B258" s="395" t="s">
        <v>852</v>
      </c>
      <c r="C258" s="395" t="s">
        <v>934</v>
      </c>
      <c r="D258" s="395" t="s">
        <v>839</v>
      </c>
      <c r="E258" s="395"/>
      <c r="F258" s="395"/>
      <c r="G258" s="395"/>
      <c r="H258" s="396"/>
      <c r="I258" s="396"/>
      <c r="J258" s="574" t="s">
        <v>1202</v>
      </c>
      <c r="K258" s="406">
        <f>+K259+K261+K262+K268+K269</f>
        <v>0</v>
      </c>
      <c r="L258" s="406">
        <f>+L259+L261+L262+L268+L269</f>
        <v>0</v>
      </c>
      <c r="M258" s="406">
        <f>+M259+M261+M262+M268+M269</f>
        <v>0</v>
      </c>
      <c r="N258" s="406">
        <f t="shared" si="93"/>
        <v>0</v>
      </c>
      <c r="O258" s="406">
        <f t="shared" ref="O258:T258" si="97">+O259+O261+O262+O268+O269</f>
        <v>0</v>
      </c>
      <c r="P258" s="406">
        <f t="shared" si="97"/>
        <v>0</v>
      </c>
      <c r="Q258" s="406">
        <f t="shared" si="97"/>
        <v>0</v>
      </c>
      <c r="R258" s="406">
        <f t="shared" si="97"/>
        <v>0</v>
      </c>
      <c r="S258" s="406">
        <f t="shared" si="97"/>
        <v>0</v>
      </c>
      <c r="T258" s="406">
        <f t="shared" si="97"/>
        <v>0</v>
      </c>
      <c r="U258" s="908">
        <v>0</v>
      </c>
      <c r="V258" s="395"/>
      <c r="W258" s="395"/>
      <c r="X258" s="395"/>
      <c r="Y258" s="571" t="s">
        <v>838</v>
      </c>
    </row>
    <row r="259" spans="1:16372" ht="22.5" customHeight="1" thickTop="1" thickBot="1">
      <c r="A259" s="401" t="s">
        <v>835</v>
      </c>
      <c r="B259" s="821" t="s">
        <v>852</v>
      </c>
      <c r="C259" s="821" t="s">
        <v>934</v>
      </c>
      <c r="D259" s="821" t="s">
        <v>839</v>
      </c>
      <c r="E259" s="821" t="s">
        <v>839</v>
      </c>
      <c r="F259" s="821"/>
      <c r="G259" s="821"/>
      <c r="H259" s="399"/>
      <c r="I259" s="399"/>
      <c r="J259" s="575" t="s">
        <v>1203</v>
      </c>
      <c r="K259" s="409">
        <f t="shared" ref="K259:T259" si="98">+K260</f>
        <v>0</v>
      </c>
      <c r="L259" s="409">
        <f>+L260</f>
        <v>0</v>
      </c>
      <c r="M259" s="409">
        <f>+M260</f>
        <v>0</v>
      </c>
      <c r="N259" s="409">
        <f t="shared" si="93"/>
        <v>0</v>
      </c>
      <c r="O259" s="409">
        <f t="shared" si="98"/>
        <v>0</v>
      </c>
      <c r="P259" s="409">
        <f t="shared" si="98"/>
        <v>0</v>
      </c>
      <c r="Q259" s="409">
        <f t="shared" si="98"/>
        <v>0</v>
      </c>
      <c r="R259" s="409">
        <f t="shared" si="98"/>
        <v>0</v>
      </c>
      <c r="S259" s="409">
        <f t="shared" si="98"/>
        <v>0</v>
      </c>
      <c r="T259" s="409">
        <f t="shared" si="98"/>
        <v>0</v>
      </c>
      <c r="U259" s="909">
        <v>0</v>
      </c>
      <c r="V259" s="821"/>
      <c r="W259" s="401"/>
      <c r="X259" s="401"/>
      <c r="Y259" s="571" t="s">
        <v>838</v>
      </c>
    </row>
    <row r="260" spans="1:16372" s="137" customFormat="1" ht="22.5" customHeight="1" thickTop="1" thickBot="1">
      <c r="A260" s="403" t="s">
        <v>835</v>
      </c>
      <c r="B260" s="399" t="s">
        <v>852</v>
      </c>
      <c r="C260" s="399" t="s">
        <v>934</v>
      </c>
      <c r="D260" s="399" t="s">
        <v>839</v>
      </c>
      <c r="E260" s="399" t="s">
        <v>839</v>
      </c>
      <c r="F260" s="821" t="s">
        <v>839</v>
      </c>
      <c r="G260" s="399"/>
      <c r="H260" s="399"/>
      <c r="I260" s="399"/>
      <c r="J260" s="576" t="s">
        <v>1204</v>
      </c>
      <c r="K260" s="410"/>
      <c r="L260" s="410"/>
      <c r="M260" s="410"/>
      <c r="N260" s="410">
        <f t="shared" si="93"/>
        <v>0</v>
      </c>
      <c r="O260" s="410"/>
      <c r="P260" s="410"/>
      <c r="Q260" s="410"/>
      <c r="R260" s="410"/>
      <c r="S260" s="410"/>
      <c r="T260" s="410"/>
      <c r="U260" s="913">
        <v>0</v>
      </c>
      <c r="V260" s="399"/>
      <c r="W260" s="403"/>
      <c r="X260" s="403"/>
      <c r="Y260" s="571" t="s">
        <v>838</v>
      </c>
      <c r="Z260" s="571"/>
      <c r="AA260" s="571"/>
      <c r="AB260" s="571"/>
      <c r="AC260" s="571"/>
      <c r="AD260" s="571"/>
      <c r="AE260" s="571"/>
      <c r="AF260" s="571"/>
      <c r="AG260" s="571"/>
      <c r="AH260" s="571"/>
      <c r="AI260" s="571"/>
      <c r="AJ260" s="571"/>
      <c r="AK260" s="571"/>
      <c r="AL260" s="571"/>
      <c r="AM260" s="914"/>
      <c r="AN260" s="571"/>
      <c r="AO260" s="571"/>
      <c r="AP260" s="571"/>
      <c r="AQ260" s="571"/>
      <c r="AR260" s="571"/>
      <c r="AS260" s="571"/>
      <c r="AT260" s="571"/>
      <c r="AU260" s="571"/>
      <c r="AV260" s="571"/>
      <c r="AW260" s="571"/>
      <c r="AX260" s="571"/>
      <c r="AY260" s="571"/>
      <c r="AZ260" s="571"/>
      <c r="BA260" s="571"/>
      <c r="BB260" s="571"/>
      <c r="BC260" s="571"/>
      <c r="BD260" s="571"/>
      <c r="BE260" s="571"/>
      <c r="BF260" s="571"/>
      <c r="BG260" s="914"/>
      <c r="BH260" s="571"/>
      <c r="BI260" s="571"/>
      <c r="BJ260" s="571"/>
      <c r="BK260" s="571"/>
      <c r="BL260" s="571"/>
      <c r="BM260" s="571"/>
      <c r="BN260" s="571"/>
      <c r="BO260" s="571"/>
      <c r="BP260" s="571"/>
      <c r="BQ260" s="571"/>
      <c r="BR260" s="571"/>
      <c r="BS260" s="571"/>
      <c r="BT260" s="571"/>
      <c r="BU260" s="571"/>
      <c r="BV260" s="571"/>
      <c r="BW260" s="571"/>
      <c r="BX260" s="571"/>
      <c r="BY260" s="571"/>
      <c r="BZ260" s="571"/>
      <c r="CA260" s="914"/>
      <c r="CB260" s="571"/>
      <c r="CC260" s="915"/>
      <c r="CD260" s="821"/>
      <c r="CE260" s="821"/>
      <c r="CF260" s="821"/>
      <c r="CG260" s="821"/>
      <c r="CH260" s="821"/>
      <c r="CI260" s="821"/>
      <c r="CJ260" s="821"/>
      <c r="CK260" s="821"/>
      <c r="CL260" s="821"/>
      <c r="CM260" s="821"/>
      <c r="CN260" s="821"/>
      <c r="CO260" s="821"/>
      <c r="CP260" s="821"/>
      <c r="CQ260" s="821"/>
      <c r="CR260" s="821"/>
      <c r="CS260" s="821"/>
      <c r="CT260" s="821"/>
      <c r="CU260" s="575"/>
      <c r="CV260" s="821"/>
      <c r="CW260" s="821"/>
      <c r="CX260" s="821"/>
      <c r="CY260" s="821"/>
      <c r="CZ260" s="821"/>
      <c r="DA260" s="821"/>
      <c r="DB260" s="821"/>
      <c r="DC260" s="821"/>
      <c r="DD260" s="821"/>
      <c r="DE260" s="821"/>
      <c r="DF260" s="821"/>
      <c r="DG260" s="821"/>
      <c r="DH260" s="821"/>
      <c r="DI260" s="821"/>
      <c r="DJ260" s="821"/>
      <c r="DK260" s="821"/>
      <c r="DL260" s="821"/>
      <c r="DM260" s="821"/>
      <c r="DN260" s="821"/>
      <c r="DO260" s="575"/>
      <c r="DP260" s="821"/>
      <c r="DQ260" s="821"/>
      <c r="DR260" s="821"/>
      <c r="DS260" s="821"/>
      <c r="DT260" s="821"/>
      <c r="DU260" s="821"/>
      <c r="DV260" s="821"/>
      <c r="DW260" s="821"/>
      <c r="DX260" s="821"/>
      <c r="DY260" s="821"/>
      <c r="DZ260" s="821"/>
      <c r="EA260" s="821"/>
      <c r="EB260" s="821"/>
      <c r="EC260" s="821"/>
      <c r="ED260" s="821"/>
      <c r="EE260" s="821"/>
      <c r="EF260" s="821"/>
      <c r="EG260" s="821"/>
      <c r="EH260" s="821"/>
      <c r="EI260" s="575"/>
      <c r="EJ260" s="821"/>
      <c r="EK260" s="821"/>
      <c r="EL260" s="821"/>
      <c r="EM260" s="821"/>
      <c r="EN260" s="821"/>
      <c r="EO260" s="821"/>
      <c r="EP260" s="821"/>
      <c r="EQ260" s="821"/>
      <c r="ER260" s="821"/>
      <c r="ES260" s="821"/>
      <c r="ET260" s="821"/>
      <c r="EU260" s="821"/>
      <c r="EV260" s="821"/>
      <c r="EW260" s="821"/>
      <c r="EX260" s="821"/>
      <c r="EY260" s="821"/>
      <c r="EZ260" s="821"/>
      <c r="FA260" s="821"/>
      <c r="FB260" s="821"/>
      <c r="FC260" s="575"/>
      <c r="FD260" s="821"/>
      <c r="FE260" s="821"/>
      <c r="FF260" s="821"/>
      <c r="FG260" s="821"/>
      <c r="FH260" s="821"/>
      <c r="FI260" s="821"/>
      <c r="FJ260" s="821"/>
      <c r="FK260" s="821"/>
      <c r="FL260" s="821"/>
      <c r="FM260" s="821"/>
      <c r="FN260" s="821"/>
      <c r="FO260" s="821"/>
      <c r="FP260" s="821"/>
      <c r="FQ260" s="821"/>
      <c r="FR260" s="821"/>
      <c r="FS260" s="821"/>
      <c r="FT260" s="821"/>
      <c r="FU260" s="821"/>
      <c r="FV260" s="821"/>
      <c r="FW260" s="575"/>
      <c r="FX260" s="821"/>
      <c r="FY260" s="821"/>
      <c r="FZ260" s="821"/>
      <c r="GA260" s="821"/>
      <c r="GB260" s="821"/>
      <c r="GC260" s="821"/>
      <c r="GD260" s="821"/>
      <c r="GE260" s="821"/>
      <c r="GF260" s="821"/>
      <c r="GG260" s="821"/>
      <c r="GH260" s="821"/>
      <c r="GI260" s="821"/>
      <c r="GJ260" s="821"/>
      <c r="GK260" s="821"/>
      <c r="GL260" s="821"/>
      <c r="GM260" s="821"/>
      <c r="GN260" s="821"/>
      <c r="GO260" s="821"/>
      <c r="GP260" s="821"/>
      <c r="GQ260" s="575"/>
      <c r="GR260" s="821"/>
      <c r="GS260" s="821"/>
      <c r="GT260" s="821"/>
      <c r="GU260" s="821"/>
      <c r="GV260" s="821"/>
      <c r="GW260" s="821"/>
      <c r="GX260" s="821"/>
      <c r="GY260" s="821"/>
      <c r="GZ260" s="821"/>
      <c r="HA260" s="821"/>
      <c r="HB260" s="821"/>
      <c r="HC260" s="821"/>
      <c r="HD260" s="821"/>
      <c r="HE260" s="821"/>
      <c r="HF260" s="821"/>
      <c r="HG260" s="821"/>
      <c r="HH260" s="821"/>
      <c r="HI260" s="821"/>
      <c r="HJ260" s="821"/>
      <c r="HK260" s="575"/>
      <c r="HL260" s="821"/>
      <c r="HM260" s="821"/>
      <c r="HN260" s="821"/>
      <c r="HO260" s="821"/>
      <c r="HP260" s="821"/>
      <c r="HQ260" s="821"/>
      <c r="HR260" s="821"/>
      <c r="HS260" s="821"/>
      <c r="HT260" s="821"/>
      <c r="HU260" s="821"/>
      <c r="HV260" s="821"/>
      <c r="HW260" s="821"/>
      <c r="HX260" s="821"/>
      <c r="HY260" s="821"/>
      <c r="HZ260" s="821"/>
      <c r="IA260" s="821"/>
      <c r="IB260" s="821"/>
      <c r="IC260" s="821"/>
      <c r="ID260" s="821"/>
      <c r="IE260" s="575"/>
      <c r="IF260" s="821"/>
      <c r="IG260" s="821"/>
      <c r="IH260" s="821"/>
      <c r="II260" s="821"/>
      <c r="IJ260" s="821"/>
      <c r="IK260" s="821"/>
      <c r="IL260" s="821"/>
      <c r="IM260" s="821"/>
      <c r="IN260" s="821"/>
      <c r="IO260" s="821"/>
      <c r="IP260" s="821"/>
      <c r="IQ260" s="821"/>
      <c r="IR260" s="821"/>
      <c r="IS260" s="821"/>
      <c r="IT260" s="821"/>
      <c r="IU260" s="821"/>
      <c r="IV260" s="821"/>
      <c r="IW260" s="821"/>
      <c r="IX260" s="821"/>
      <c r="IY260" s="575"/>
      <c r="IZ260" s="821"/>
      <c r="JA260" s="821"/>
      <c r="JB260" s="821"/>
      <c r="JC260" s="821"/>
      <c r="JD260" s="821"/>
      <c r="JE260" s="821"/>
      <c r="JF260" s="821"/>
      <c r="JG260" s="821"/>
      <c r="JH260" s="821"/>
      <c r="JI260" s="821"/>
      <c r="JJ260" s="821"/>
      <c r="JK260" s="821"/>
      <c r="JL260" s="821"/>
      <c r="JM260" s="821"/>
      <c r="JN260" s="821"/>
      <c r="JO260" s="821"/>
      <c r="JP260" s="821"/>
      <c r="JQ260" s="821"/>
      <c r="JR260" s="821"/>
      <c r="JS260" s="575"/>
      <c r="JT260" s="821"/>
      <c r="JU260" s="821"/>
      <c r="JV260" s="821"/>
      <c r="JW260" s="821"/>
      <c r="JX260" s="821"/>
      <c r="JY260" s="821"/>
      <c r="JZ260" s="821"/>
      <c r="KA260" s="821"/>
      <c r="KB260" s="821"/>
      <c r="KC260" s="821"/>
      <c r="KD260" s="821"/>
      <c r="KE260" s="821"/>
      <c r="KF260" s="821"/>
      <c r="KG260" s="821"/>
      <c r="KH260" s="821"/>
      <c r="KI260" s="821"/>
      <c r="KJ260" s="821"/>
      <c r="KK260" s="821"/>
      <c r="KL260" s="821"/>
      <c r="KM260" s="575"/>
      <c r="KN260" s="821"/>
      <c r="KO260" s="821"/>
      <c r="KP260" s="821"/>
      <c r="KQ260" s="821"/>
      <c r="KR260" s="821"/>
      <c r="KS260" s="821"/>
      <c r="KT260" s="821"/>
      <c r="KU260" s="821"/>
      <c r="KV260" s="821"/>
      <c r="KW260" s="821"/>
      <c r="KX260" s="821"/>
      <c r="KY260" s="821"/>
      <c r="KZ260" s="821"/>
      <c r="LA260" s="821"/>
      <c r="LB260" s="821"/>
      <c r="LC260" s="821"/>
      <c r="LD260" s="821"/>
      <c r="LE260" s="821"/>
      <c r="LF260" s="821"/>
      <c r="LG260" s="575"/>
      <c r="LH260" s="821"/>
      <c r="LI260" s="821"/>
      <c r="LJ260" s="821"/>
      <c r="LK260" s="821"/>
      <c r="LL260" s="821"/>
      <c r="LM260" s="821"/>
      <c r="LN260" s="821"/>
      <c r="LO260" s="821"/>
      <c r="LP260" s="821"/>
      <c r="LQ260" s="821"/>
      <c r="LR260" s="821"/>
      <c r="LS260" s="821"/>
      <c r="LT260" s="821"/>
      <c r="LU260" s="821"/>
      <c r="LV260" s="821"/>
      <c r="LW260" s="821"/>
      <c r="LX260" s="821"/>
      <c r="LY260" s="821"/>
      <c r="LZ260" s="821"/>
      <c r="MA260" s="575"/>
      <c r="MB260" s="821"/>
      <c r="MC260" s="821"/>
      <c r="MD260" s="821"/>
      <c r="ME260" s="821"/>
      <c r="MF260" s="821"/>
      <c r="MG260" s="821"/>
      <c r="MH260" s="821"/>
      <c r="MI260" s="821"/>
      <c r="MJ260" s="821"/>
      <c r="MK260" s="821"/>
      <c r="ML260" s="821"/>
      <c r="MM260" s="821"/>
      <c r="MN260" s="821"/>
      <c r="MO260" s="821"/>
      <c r="MP260" s="821"/>
      <c r="MQ260" s="821"/>
      <c r="MR260" s="821"/>
      <c r="MS260" s="821"/>
      <c r="MT260" s="821"/>
      <c r="MU260" s="575"/>
      <c r="MV260" s="821"/>
      <c r="MW260" s="821"/>
      <c r="MX260" s="821"/>
      <c r="MY260" s="821"/>
      <c r="MZ260" s="821"/>
      <c r="NA260" s="821"/>
      <c r="NB260" s="821"/>
      <c r="NC260" s="821"/>
      <c r="ND260" s="821"/>
      <c r="NE260" s="821"/>
      <c r="NF260" s="821"/>
      <c r="NG260" s="821"/>
      <c r="NH260" s="821"/>
      <c r="NI260" s="821"/>
      <c r="NJ260" s="821"/>
      <c r="NK260" s="821"/>
      <c r="NL260" s="821"/>
      <c r="NM260" s="821"/>
      <c r="NN260" s="821"/>
      <c r="NO260" s="575"/>
      <c r="NP260" s="821"/>
      <c r="NQ260" s="821"/>
      <c r="NR260" s="821"/>
      <c r="NS260" s="821"/>
      <c r="NT260" s="821"/>
      <c r="NU260" s="821"/>
      <c r="NV260" s="821"/>
      <c r="NW260" s="821"/>
      <c r="NX260" s="821"/>
      <c r="NY260" s="821"/>
      <c r="NZ260" s="821"/>
      <c r="OA260" s="821"/>
      <c r="OB260" s="821"/>
      <c r="OC260" s="821"/>
      <c r="OD260" s="821"/>
      <c r="OE260" s="821"/>
      <c r="OF260" s="821"/>
      <c r="OG260" s="821"/>
      <c r="OH260" s="821"/>
      <c r="OI260" s="575"/>
      <c r="OJ260" s="821"/>
      <c r="OK260" s="821"/>
      <c r="OL260" s="821"/>
      <c r="OM260" s="821"/>
      <c r="ON260" s="821"/>
      <c r="OO260" s="821"/>
      <c r="OP260" s="821"/>
      <c r="OQ260" s="821"/>
      <c r="OR260" s="821"/>
      <c r="OS260" s="821"/>
      <c r="OT260" s="821"/>
      <c r="OU260" s="821"/>
      <c r="OV260" s="821"/>
      <c r="OW260" s="821"/>
      <c r="OX260" s="821"/>
      <c r="OY260" s="821"/>
      <c r="OZ260" s="821"/>
      <c r="PA260" s="821"/>
      <c r="PB260" s="821"/>
      <c r="PC260" s="575"/>
      <c r="PD260" s="821"/>
      <c r="PE260" s="821"/>
      <c r="PF260" s="821"/>
      <c r="PG260" s="821"/>
      <c r="PH260" s="821"/>
      <c r="PI260" s="821"/>
      <c r="PJ260" s="821"/>
      <c r="PK260" s="821"/>
      <c r="PL260" s="821"/>
      <c r="PM260" s="821"/>
      <c r="PN260" s="821"/>
      <c r="PO260" s="821"/>
      <c r="PP260" s="821"/>
      <c r="PQ260" s="821"/>
      <c r="PR260" s="821"/>
      <c r="PS260" s="821"/>
      <c r="PT260" s="821"/>
      <c r="PU260" s="821"/>
      <c r="PV260" s="821"/>
      <c r="PW260" s="575"/>
      <c r="PX260" s="821"/>
      <c r="PY260" s="821"/>
      <c r="PZ260" s="821"/>
      <c r="QA260" s="821"/>
      <c r="QB260" s="821"/>
      <c r="QC260" s="821"/>
      <c r="QD260" s="821"/>
      <c r="QE260" s="821"/>
      <c r="QF260" s="821"/>
      <c r="QG260" s="821"/>
      <c r="QH260" s="821"/>
      <c r="QI260" s="821"/>
      <c r="QJ260" s="821"/>
      <c r="QK260" s="821"/>
      <c r="QL260" s="821"/>
      <c r="QM260" s="821"/>
      <c r="QN260" s="821"/>
      <c r="QO260" s="821"/>
      <c r="QP260" s="821"/>
      <c r="QQ260" s="575"/>
      <c r="QR260" s="821"/>
      <c r="QS260" s="821"/>
      <c r="QT260" s="821"/>
      <c r="QU260" s="821"/>
      <c r="QV260" s="821"/>
      <c r="QW260" s="821"/>
      <c r="QX260" s="821"/>
      <c r="QY260" s="821"/>
      <c r="QZ260" s="821"/>
      <c r="RA260" s="821"/>
      <c r="RB260" s="821"/>
      <c r="RC260" s="821"/>
      <c r="RD260" s="821"/>
      <c r="RE260" s="821"/>
      <c r="RF260" s="821"/>
      <c r="RG260" s="821"/>
      <c r="RH260" s="821"/>
      <c r="RI260" s="821"/>
      <c r="RJ260" s="821"/>
      <c r="RK260" s="575"/>
      <c r="RL260" s="821"/>
      <c r="RM260" s="821"/>
      <c r="RN260" s="821"/>
      <c r="RO260" s="821"/>
      <c r="RP260" s="821"/>
      <c r="RQ260" s="821"/>
      <c r="RR260" s="821"/>
      <c r="RS260" s="821"/>
      <c r="RT260" s="821"/>
      <c r="RU260" s="821"/>
      <c r="RV260" s="821"/>
      <c r="RW260" s="821"/>
      <c r="RX260" s="821"/>
      <c r="RY260" s="821"/>
      <c r="RZ260" s="821"/>
      <c r="SA260" s="821"/>
      <c r="SB260" s="821"/>
      <c r="SC260" s="821"/>
      <c r="SD260" s="821"/>
      <c r="SE260" s="575"/>
      <c r="SF260" s="821"/>
      <c r="SG260" s="821"/>
      <c r="SH260" s="821"/>
      <c r="SI260" s="821"/>
      <c r="SJ260" s="821"/>
      <c r="SK260" s="821"/>
      <c r="SL260" s="821"/>
      <c r="SM260" s="821"/>
      <c r="SN260" s="821"/>
      <c r="SO260" s="821"/>
      <c r="SP260" s="821"/>
      <c r="SQ260" s="821"/>
      <c r="SR260" s="821"/>
      <c r="SS260" s="821"/>
      <c r="ST260" s="821"/>
      <c r="SU260" s="821"/>
      <c r="SV260" s="821"/>
      <c r="SW260" s="821"/>
      <c r="SX260" s="821"/>
      <c r="SY260" s="575"/>
      <c r="SZ260" s="821"/>
      <c r="TA260" s="821"/>
      <c r="TB260" s="821"/>
      <c r="TC260" s="821"/>
      <c r="TD260" s="821"/>
      <c r="TE260" s="821"/>
      <c r="TF260" s="821"/>
      <c r="TG260" s="821"/>
      <c r="TH260" s="821"/>
      <c r="TI260" s="821"/>
      <c r="TJ260" s="821"/>
      <c r="TK260" s="821"/>
      <c r="TL260" s="821"/>
      <c r="TM260" s="821"/>
      <c r="TN260" s="821"/>
      <c r="TO260" s="821"/>
      <c r="TP260" s="821"/>
      <c r="TQ260" s="821"/>
      <c r="TR260" s="821"/>
      <c r="TS260" s="575"/>
      <c r="TT260" s="821"/>
      <c r="TU260" s="821"/>
      <c r="TV260" s="821"/>
      <c r="TW260" s="821"/>
      <c r="TX260" s="821"/>
      <c r="TY260" s="821"/>
      <c r="TZ260" s="821"/>
      <c r="UA260" s="821"/>
      <c r="UB260" s="821"/>
      <c r="UC260" s="821"/>
      <c r="UD260" s="821"/>
      <c r="UE260" s="821"/>
      <c r="UF260" s="821"/>
      <c r="UG260" s="821"/>
      <c r="UH260" s="821"/>
      <c r="UI260" s="821"/>
      <c r="UJ260" s="821"/>
      <c r="UK260" s="821"/>
      <c r="UL260" s="821"/>
      <c r="UM260" s="575"/>
      <c r="UN260" s="821"/>
      <c r="UO260" s="821"/>
      <c r="UP260" s="821"/>
      <c r="UQ260" s="821"/>
      <c r="UR260" s="821"/>
      <c r="US260" s="821"/>
      <c r="UT260" s="821"/>
      <c r="UU260" s="821"/>
      <c r="UV260" s="821"/>
      <c r="UW260" s="821"/>
      <c r="UX260" s="821"/>
      <c r="UY260" s="821"/>
      <c r="UZ260" s="821"/>
      <c r="VA260" s="821"/>
      <c r="VB260" s="821"/>
      <c r="VC260" s="821"/>
      <c r="VD260" s="821"/>
      <c r="VE260" s="821"/>
      <c r="VF260" s="821"/>
      <c r="VG260" s="575"/>
      <c r="VH260" s="821"/>
      <c r="VI260" s="821"/>
      <c r="VJ260" s="821"/>
      <c r="VK260" s="821"/>
      <c r="VL260" s="821"/>
      <c r="VM260" s="821"/>
      <c r="VN260" s="821"/>
      <c r="VO260" s="821"/>
      <c r="VP260" s="821"/>
      <c r="VQ260" s="821"/>
      <c r="VR260" s="821"/>
      <c r="VS260" s="821"/>
      <c r="VT260" s="821"/>
      <c r="VU260" s="821"/>
      <c r="VV260" s="821"/>
      <c r="VW260" s="821"/>
      <c r="VX260" s="821"/>
      <c r="VY260" s="821"/>
      <c r="VZ260" s="821"/>
      <c r="WA260" s="575"/>
      <c r="WB260" s="821"/>
      <c r="WC260" s="821"/>
      <c r="WD260" s="821"/>
      <c r="WE260" s="821"/>
      <c r="WF260" s="821"/>
      <c r="WG260" s="821"/>
      <c r="WH260" s="821"/>
      <c r="WI260" s="821"/>
      <c r="WJ260" s="821"/>
      <c r="WK260" s="821"/>
      <c r="WL260" s="821"/>
      <c r="WM260" s="821"/>
      <c r="WN260" s="821"/>
      <c r="WO260" s="821"/>
      <c r="WP260" s="821"/>
      <c r="WQ260" s="821"/>
      <c r="WR260" s="821"/>
      <c r="WS260" s="821"/>
      <c r="WT260" s="821"/>
      <c r="WU260" s="575"/>
      <c r="WV260" s="821"/>
      <c r="WW260" s="821"/>
      <c r="WX260" s="821"/>
      <c r="WY260" s="821"/>
      <c r="WZ260" s="821"/>
      <c r="XA260" s="821"/>
      <c r="XB260" s="821"/>
      <c r="XC260" s="821"/>
      <c r="XD260" s="821"/>
      <c r="XE260" s="821"/>
      <c r="XF260" s="821"/>
      <c r="XG260" s="821"/>
      <c r="XH260" s="821"/>
      <c r="XI260" s="821"/>
      <c r="XJ260" s="821"/>
      <c r="XK260" s="821"/>
      <c r="XL260" s="821"/>
      <c r="XM260" s="821"/>
      <c r="XN260" s="821"/>
      <c r="XO260" s="575"/>
      <c r="XP260" s="821"/>
      <c r="XQ260" s="821"/>
      <c r="XR260" s="821"/>
      <c r="XS260" s="821"/>
      <c r="XT260" s="821"/>
      <c r="XU260" s="821"/>
      <c r="XV260" s="821"/>
      <c r="XW260" s="821"/>
      <c r="XX260" s="821"/>
      <c r="XY260" s="821"/>
      <c r="XZ260" s="821"/>
      <c r="YA260" s="821"/>
      <c r="YB260" s="821"/>
      <c r="YC260" s="821"/>
      <c r="YD260" s="821"/>
      <c r="YE260" s="821"/>
      <c r="YF260" s="821"/>
      <c r="YG260" s="821"/>
      <c r="YH260" s="821"/>
      <c r="YI260" s="575"/>
      <c r="YJ260" s="821"/>
      <c r="YK260" s="821"/>
      <c r="YL260" s="821"/>
      <c r="YM260" s="821"/>
      <c r="YN260" s="821"/>
      <c r="YO260" s="821"/>
      <c r="YP260" s="821"/>
      <c r="YQ260" s="821"/>
      <c r="YR260" s="821"/>
      <c r="YS260" s="821"/>
      <c r="YT260" s="821"/>
      <c r="YU260" s="821"/>
      <c r="YV260" s="821"/>
      <c r="YW260" s="821"/>
      <c r="YX260" s="821"/>
      <c r="YY260" s="821"/>
      <c r="YZ260" s="821"/>
      <c r="ZA260" s="821"/>
      <c r="ZB260" s="821"/>
      <c r="ZC260" s="575"/>
      <c r="ZD260" s="821"/>
      <c r="ZE260" s="821"/>
      <c r="ZF260" s="821"/>
      <c r="ZG260" s="821"/>
      <c r="ZH260" s="821"/>
      <c r="ZI260" s="821"/>
      <c r="ZJ260" s="821"/>
      <c r="ZK260" s="821"/>
      <c r="ZL260" s="821"/>
      <c r="ZM260" s="821"/>
      <c r="ZN260" s="821"/>
      <c r="ZO260" s="821"/>
      <c r="ZP260" s="821"/>
      <c r="ZQ260" s="821"/>
      <c r="ZR260" s="821"/>
      <c r="ZS260" s="821"/>
      <c r="ZT260" s="821"/>
      <c r="ZU260" s="821"/>
      <c r="ZV260" s="821"/>
      <c r="ZW260" s="575"/>
      <c r="ZX260" s="821"/>
      <c r="ZY260" s="821"/>
      <c r="ZZ260" s="821"/>
      <c r="AAA260" s="821"/>
      <c r="AAB260" s="821"/>
      <c r="AAC260" s="821"/>
      <c r="AAD260" s="821"/>
      <c r="AAE260" s="821"/>
      <c r="AAF260" s="821"/>
      <c r="AAG260" s="821"/>
      <c r="AAH260" s="821"/>
      <c r="AAI260" s="821"/>
      <c r="AAJ260" s="821"/>
      <c r="AAK260" s="821"/>
      <c r="AAL260" s="821"/>
      <c r="AAM260" s="821"/>
      <c r="AAN260" s="821"/>
      <c r="AAO260" s="821"/>
      <c r="AAP260" s="821"/>
      <c r="AAQ260" s="575"/>
      <c r="AAR260" s="821"/>
      <c r="AAS260" s="821"/>
      <c r="AAT260" s="821"/>
      <c r="AAU260" s="821"/>
      <c r="AAV260" s="821"/>
      <c r="AAW260" s="821"/>
      <c r="AAX260" s="821"/>
      <c r="AAY260" s="821"/>
      <c r="AAZ260" s="821"/>
      <c r="ABA260" s="821"/>
      <c r="ABB260" s="821"/>
      <c r="ABC260" s="821"/>
      <c r="ABD260" s="821"/>
      <c r="ABE260" s="821"/>
      <c r="ABF260" s="821"/>
      <c r="ABG260" s="821"/>
      <c r="ABH260" s="821"/>
      <c r="ABI260" s="821"/>
      <c r="ABJ260" s="821"/>
      <c r="ABK260" s="575"/>
      <c r="ABL260" s="821"/>
      <c r="ABM260" s="821"/>
      <c r="ABN260" s="821"/>
      <c r="ABO260" s="821"/>
      <c r="ABP260" s="821"/>
      <c r="ABQ260" s="821"/>
      <c r="ABR260" s="821"/>
      <c r="ABS260" s="821"/>
      <c r="ABT260" s="821"/>
      <c r="ABU260" s="821"/>
      <c r="ABV260" s="821"/>
      <c r="ABW260" s="821"/>
      <c r="ABX260" s="821"/>
      <c r="ABY260" s="821"/>
      <c r="ABZ260" s="821"/>
      <c r="ACA260" s="821"/>
      <c r="ACB260" s="821"/>
      <c r="ACC260" s="821"/>
      <c r="ACD260" s="821"/>
      <c r="ACE260" s="575"/>
      <c r="ACF260" s="821"/>
      <c r="ACG260" s="821"/>
      <c r="ACH260" s="821"/>
      <c r="ACI260" s="821"/>
      <c r="ACJ260" s="821"/>
      <c r="ACK260" s="821"/>
      <c r="ACL260" s="821"/>
      <c r="ACM260" s="821"/>
      <c r="ACN260" s="821"/>
      <c r="ACO260" s="821"/>
      <c r="ACP260" s="821"/>
      <c r="ACQ260" s="821"/>
      <c r="ACR260" s="821"/>
      <c r="ACS260" s="821"/>
      <c r="ACT260" s="821"/>
      <c r="ACU260" s="821"/>
      <c r="ACV260" s="821"/>
      <c r="ACW260" s="821"/>
      <c r="ACX260" s="821"/>
      <c r="ACY260" s="575"/>
      <c r="ACZ260" s="821"/>
      <c r="ADA260" s="821"/>
      <c r="ADB260" s="821"/>
      <c r="ADC260" s="821"/>
      <c r="ADD260" s="821"/>
      <c r="ADE260" s="821"/>
      <c r="ADF260" s="821"/>
      <c r="ADG260" s="821"/>
      <c r="ADH260" s="821"/>
      <c r="ADI260" s="821"/>
      <c r="ADJ260" s="821"/>
      <c r="ADK260" s="821"/>
      <c r="ADL260" s="821"/>
      <c r="ADM260" s="821"/>
      <c r="ADN260" s="821"/>
      <c r="ADO260" s="821"/>
      <c r="ADP260" s="821"/>
      <c r="ADQ260" s="821"/>
      <c r="ADR260" s="821"/>
      <c r="ADS260" s="575"/>
      <c r="ADT260" s="821"/>
      <c r="ADU260" s="821"/>
      <c r="ADV260" s="821"/>
      <c r="ADW260" s="821"/>
      <c r="ADX260" s="821"/>
      <c r="ADY260" s="821"/>
      <c r="ADZ260" s="821"/>
      <c r="AEA260" s="821"/>
      <c r="AEB260" s="821"/>
      <c r="AEC260" s="821"/>
      <c r="AED260" s="821"/>
      <c r="AEE260" s="821"/>
      <c r="AEF260" s="821"/>
      <c r="AEG260" s="821"/>
      <c r="AEH260" s="821"/>
      <c r="AEI260" s="821"/>
      <c r="AEJ260" s="821"/>
      <c r="AEK260" s="821"/>
      <c r="AEL260" s="821"/>
      <c r="AEM260" s="575"/>
      <c r="AEN260" s="821"/>
      <c r="AEO260" s="821"/>
      <c r="AEP260" s="821"/>
      <c r="AEQ260" s="821"/>
      <c r="AER260" s="821"/>
      <c r="AES260" s="821"/>
      <c r="AET260" s="821"/>
      <c r="AEU260" s="821"/>
      <c r="AEV260" s="821"/>
      <c r="AEW260" s="821"/>
      <c r="AEX260" s="821"/>
      <c r="AEY260" s="821"/>
      <c r="AEZ260" s="821"/>
      <c r="AFA260" s="821"/>
      <c r="AFB260" s="821"/>
      <c r="AFC260" s="821"/>
      <c r="AFD260" s="821"/>
      <c r="AFE260" s="821"/>
      <c r="AFF260" s="821"/>
      <c r="AFG260" s="575"/>
      <c r="AFH260" s="821"/>
      <c r="AFI260" s="821"/>
      <c r="AFJ260" s="821"/>
      <c r="AFK260" s="821"/>
      <c r="AFL260" s="821"/>
      <c r="AFM260" s="821"/>
      <c r="AFN260" s="821"/>
      <c r="AFO260" s="821"/>
      <c r="AFP260" s="821"/>
      <c r="AFQ260" s="821"/>
      <c r="AFR260" s="821"/>
      <c r="AFS260" s="821"/>
      <c r="AFT260" s="821"/>
      <c r="AFU260" s="821"/>
      <c r="AFV260" s="821"/>
      <c r="AFW260" s="821"/>
      <c r="AFX260" s="821"/>
      <c r="AFY260" s="821"/>
      <c r="AFZ260" s="821"/>
      <c r="AGA260" s="575"/>
      <c r="AGB260" s="821"/>
      <c r="AGC260" s="821"/>
      <c r="AGD260" s="821"/>
      <c r="AGE260" s="821"/>
      <c r="AGF260" s="821"/>
      <c r="AGG260" s="821"/>
      <c r="AGH260" s="821"/>
      <c r="AGI260" s="821"/>
      <c r="AGJ260" s="821"/>
      <c r="AGK260" s="821"/>
      <c r="AGL260" s="821"/>
      <c r="AGM260" s="821"/>
      <c r="AGN260" s="821"/>
      <c r="AGO260" s="821"/>
      <c r="AGP260" s="821"/>
      <c r="AGQ260" s="821"/>
      <c r="AGR260" s="821"/>
      <c r="AGS260" s="821"/>
      <c r="AGT260" s="821"/>
      <c r="AGU260" s="575"/>
      <c r="AGV260" s="821"/>
      <c r="AGW260" s="821"/>
      <c r="AGX260" s="821"/>
      <c r="AGY260" s="821"/>
      <c r="AGZ260" s="821"/>
      <c r="AHA260" s="821"/>
      <c r="AHB260" s="821"/>
      <c r="AHC260" s="821"/>
      <c r="AHD260" s="821"/>
      <c r="AHE260" s="821"/>
      <c r="AHF260" s="821"/>
      <c r="AHG260" s="821"/>
      <c r="AHH260" s="821"/>
      <c r="AHI260" s="821"/>
      <c r="AHJ260" s="821"/>
      <c r="AHK260" s="821"/>
      <c r="AHL260" s="821"/>
      <c r="AHM260" s="821"/>
      <c r="AHN260" s="821"/>
      <c r="AHO260" s="575"/>
      <c r="AHP260" s="821"/>
      <c r="AHQ260" s="821"/>
      <c r="AHR260" s="821"/>
      <c r="AHS260" s="821"/>
      <c r="AHT260" s="821"/>
      <c r="AHU260" s="821"/>
      <c r="AHV260" s="821"/>
      <c r="AHW260" s="821"/>
      <c r="AHX260" s="821"/>
      <c r="AHY260" s="821"/>
      <c r="AHZ260" s="821"/>
      <c r="AIA260" s="821"/>
      <c r="AIB260" s="821"/>
      <c r="AIC260" s="821"/>
      <c r="AID260" s="821"/>
      <c r="AIE260" s="821"/>
      <c r="AIF260" s="821"/>
      <c r="AIG260" s="821"/>
      <c r="AIH260" s="821"/>
      <c r="AII260" s="575"/>
      <c r="AIJ260" s="821"/>
      <c r="AIK260" s="821"/>
      <c r="AIL260" s="821"/>
      <c r="AIM260" s="821"/>
      <c r="AIN260" s="821"/>
      <c r="AIO260" s="821"/>
      <c r="AIP260" s="821"/>
      <c r="AIQ260" s="821"/>
      <c r="AIR260" s="821"/>
      <c r="AIS260" s="821"/>
      <c r="AIT260" s="821"/>
      <c r="AIU260" s="821"/>
      <c r="AIV260" s="821"/>
      <c r="AIW260" s="821"/>
      <c r="AIX260" s="821"/>
      <c r="AIY260" s="821"/>
      <c r="AIZ260" s="821"/>
      <c r="AJA260" s="821"/>
      <c r="AJB260" s="821"/>
      <c r="AJC260" s="575"/>
      <c r="AJD260" s="821"/>
      <c r="AJE260" s="821"/>
      <c r="AJF260" s="821"/>
      <c r="AJG260" s="821"/>
      <c r="AJH260" s="821"/>
      <c r="AJI260" s="821"/>
      <c r="AJJ260" s="821"/>
      <c r="AJK260" s="821"/>
      <c r="AJL260" s="821"/>
      <c r="AJM260" s="821"/>
      <c r="AJN260" s="821"/>
      <c r="AJO260" s="821"/>
      <c r="AJP260" s="821"/>
      <c r="AJQ260" s="821"/>
      <c r="AJR260" s="821"/>
      <c r="AJS260" s="821"/>
      <c r="AJT260" s="821"/>
      <c r="AJU260" s="821"/>
      <c r="AJV260" s="821"/>
      <c r="AJW260" s="575"/>
      <c r="AJX260" s="821"/>
      <c r="AJY260" s="821"/>
      <c r="AJZ260" s="821"/>
      <c r="AKA260" s="821"/>
      <c r="AKB260" s="821"/>
      <c r="AKC260" s="821"/>
      <c r="AKD260" s="821"/>
      <c r="AKE260" s="821"/>
      <c r="AKF260" s="821"/>
      <c r="AKG260" s="821"/>
      <c r="AKH260" s="821"/>
      <c r="AKI260" s="821"/>
      <c r="AKJ260" s="821"/>
      <c r="AKK260" s="821"/>
      <c r="AKL260" s="821"/>
      <c r="AKM260" s="821"/>
      <c r="AKN260" s="821"/>
      <c r="AKO260" s="821"/>
      <c r="AKP260" s="821"/>
      <c r="AKQ260" s="575"/>
      <c r="AKR260" s="821"/>
      <c r="AKS260" s="821"/>
      <c r="AKT260" s="821"/>
      <c r="AKU260" s="821"/>
      <c r="AKV260" s="821"/>
      <c r="AKW260" s="821"/>
      <c r="AKX260" s="821"/>
      <c r="AKY260" s="821"/>
      <c r="AKZ260" s="821"/>
      <c r="ALA260" s="821"/>
      <c r="ALB260" s="821"/>
      <c r="ALC260" s="821"/>
      <c r="ALD260" s="821"/>
      <c r="ALE260" s="821"/>
      <c r="ALF260" s="821"/>
      <c r="ALG260" s="821"/>
      <c r="ALH260" s="821"/>
      <c r="ALI260" s="821"/>
      <c r="ALJ260" s="821"/>
      <c r="ALK260" s="575"/>
      <c r="ALL260" s="821"/>
      <c r="ALM260" s="821"/>
      <c r="ALN260" s="821"/>
      <c r="ALO260" s="821"/>
      <c r="ALP260" s="821"/>
      <c r="ALQ260" s="821"/>
      <c r="ALR260" s="821"/>
      <c r="ALS260" s="821"/>
      <c r="ALT260" s="821"/>
      <c r="ALU260" s="821"/>
      <c r="ALV260" s="821"/>
      <c r="ALW260" s="821"/>
      <c r="ALX260" s="821"/>
      <c r="ALY260" s="821"/>
      <c r="ALZ260" s="821"/>
      <c r="AMA260" s="821"/>
      <c r="AMB260" s="821"/>
      <c r="AMC260" s="821"/>
      <c r="AMD260" s="821"/>
      <c r="AME260" s="575"/>
      <c r="AMF260" s="821"/>
      <c r="AMG260" s="821"/>
      <c r="AMH260" s="821"/>
      <c r="AMI260" s="821"/>
      <c r="AMJ260" s="821"/>
      <c r="AMK260" s="821"/>
      <c r="AML260" s="821"/>
      <c r="AMM260" s="821"/>
      <c r="AMN260" s="821"/>
      <c r="AMO260" s="821"/>
      <c r="AMP260" s="821"/>
      <c r="AMQ260" s="821"/>
      <c r="AMR260" s="821"/>
      <c r="AMS260" s="821"/>
      <c r="AMT260" s="821"/>
      <c r="AMU260" s="821"/>
      <c r="AMV260" s="821"/>
      <c r="AMW260" s="821"/>
      <c r="AMX260" s="821"/>
      <c r="AMY260" s="575"/>
      <c r="AMZ260" s="821"/>
      <c r="ANA260" s="821"/>
      <c r="ANB260" s="821"/>
      <c r="ANC260" s="821"/>
      <c r="AND260" s="821"/>
      <c r="ANE260" s="821"/>
      <c r="ANF260" s="821"/>
      <c r="ANG260" s="821"/>
      <c r="ANH260" s="821"/>
      <c r="ANI260" s="821"/>
      <c r="ANJ260" s="821"/>
      <c r="ANK260" s="821"/>
      <c r="ANL260" s="821"/>
      <c r="ANM260" s="821"/>
      <c r="ANN260" s="821"/>
      <c r="ANO260" s="821"/>
      <c r="ANP260" s="821"/>
      <c r="ANQ260" s="821"/>
      <c r="ANR260" s="821"/>
      <c r="ANS260" s="575"/>
      <c r="ANT260" s="821"/>
      <c r="ANU260" s="821"/>
      <c r="ANV260" s="821"/>
      <c r="ANW260" s="821"/>
      <c r="ANX260" s="821"/>
      <c r="ANY260" s="821"/>
      <c r="ANZ260" s="821"/>
      <c r="AOA260" s="821"/>
      <c r="AOB260" s="821"/>
      <c r="AOC260" s="821"/>
      <c r="AOD260" s="821"/>
      <c r="AOE260" s="821"/>
      <c r="AOF260" s="821"/>
      <c r="AOG260" s="821"/>
      <c r="AOH260" s="821"/>
      <c r="AOI260" s="821"/>
      <c r="AOJ260" s="821"/>
      <c r="AOK260" s="821"/>
      <c r="AOL260" s="821"/>
      <c r="AOM260" s="575"/>
      <c r="AON260" s="821"/>
      <c r="AOO260" s="821"/>
      <c r="AOP260" s="821"/>
      <c r="AOQ260" s="821"/>
      <c r="AOR260" s="821"/>
      <c r="AOS260" s="821"/>
      <c r="AOT260" s="821"/>
      <c r="AOU260" s="821"/>
      <c r="AOV260" s="821"/>
      <c r="AOW260" s="821"/>
      <c r="AOX260" s="821"/>
      <c r="AOY260" s="821"/>
      <c r="AOZ260" s="821"/>
      <c r="APA260" s="821"/>
      <c r="APB260" s="821"/>
      <c r="APC260" s="821"/>
      <c r="APD260" s="821"/>
      <c r="APE260" s="821"/>
      <c r="APF260" s="821"/>
      <c r="APG260" s="575"/>
      <c r="APH260" s="821"/>
      <c r="API260" s="821"/>
      <c r="APJ260" s="821"/>
      <c r="APK260" s="821"/>
      <c r="APL260" s="821"/>
      <c r="APM260" s="821"/>
      <c r="APN260" s="821"/>
      <c r="APO260" s="821"/>
      <c r="APP260" s="821"/>
      <c r="APQ260" s="821"/>
      <c r="APR260" s="821"/>
      <c r="APS260" s="821"/>
      <c r="APT260" s="821"/>
      <c r="APU260" s="821"/>
      <c r="APV260" s="821"/>
      <c r="APW260" s="821"/>
      <c r="APX260" s="821"/>
      <c r="APY260" s="821"/>
      <c r="APZ260" s="821"/>
      <c r="AQA260" s="575"/>
      <c r="AQB260" s="821"/>
      <c r="AQC260" s="821"/>
      <c r="AQD260" s="821"/>
      <c r="AQE260" s="821"/>
      <c r="AQF260" s="821"/>
      <c r="AQG260" s="821"/>
      <c r="AQH260" s="821"/>
      <c r="AQI260" s="821"/>
      <c r="AQJ260" s="821"/>
      <c r="AQK260" s="821"/>
      <c r="AQL260" s="821"/>
      <c r="AQM260" s="821"/>
      <c r="AQN260" s="821"/>
      <c r="AQO260" s="821"/>
      <c r="AQP260" s="821"/>
      <c r="AQQ260" s="821"/>
      <c r="AQR260" s="821"/>
      <c r="AQS260" s="821"/>
      <c r="AQT260" s="821"/>
      <c r="AQU260" s="575"/>
      <c r="AQV260" s="821"/>
      <c r="AQW260" s="821"/>
      <c r="AQX260" s="821"/>
      <c r="AQY260" s="821"/>
      <c r="AQZ260" s="821"/>
      <c r="ARA260" s="821"/>
      <c r="ARB260" s="821"/>
      <c r="ARC260" s="821"/>
      <c r="ARD260" s="821"/>
      <c r="ARE260" s="821"/>
      <c r="ARF260" s="821"/>
      <c r="ARG260" s="821"/>
      <c r="ARH260" s="821"/>
      <c r="ARI260" s="821"/>
      <c r="ARJ260" s="821"/>
      <c r="ARK260" s="821"/>
      <c r="ARL260" s="821"/>
      <c r="ARM260" s="821"/>
      <c r="ARN260" s="821"/>
      <c r="ARO260" s="575"/>
      <c r="ARP260" s="821"/>
      <c r="ARQ260" s="821"/>
      <c r="ARR260" s="821"/>
      <c r="ARS260" s="821"/>
      <c r="ART260" s="821"/>
      <c r="ARU260" s="821"/>
      <c r="ARV260" s="821"/>
      <c r="ARW260" s="821"/>
      <c r="ARX260" s="821"/>
      <c r="ARY260" s="821"/>
      <c r="ARZ260" s="821"/>
      <c r="ASA260" s="821"/>
      <c r="ASB260" s="821"/>
      <c r="ASC260" s="821"/>
      <c r="ASD260" s="821"/>
      <c r="ASE260" s="821"/>
      <c r="ASF260" s="821"/>
      <c r="ASG260" s="821"/>
      <c r="ASH260" s="821"/>
      <c r="ASI260" s="575"/>
      <c r="ASJ260" s="821"/>
      <c r="ASK260" s="821"/>
      <c r="ASL260" s="821"/>
      <c r="ASM260" s="821"/>
      <c r="ASN260" s="821"/>
      <c r="ASO260" s="821"/>
      <c r="ASP260" s="821"/>
      <c r="ASQ260" s="821"/>
      <c r="ASR260" s="821"/>
      <c r="ASS260" s="821"/>
      <c r="AST260" s="821"/>
      <c r="ASU260" s="821"/>
      <c r="ASV260" s="821"/>
      <c r="ASW260" s="821"/>
      <c r="ASX260" s="821"/>
      <c r="ASY260" s="821"/>
      <c r="ASZ260" s="821"/>
      <c r="ATA260" s="821"/>
      <c r="ATB260" s="821"/>
      <c r="ATC260" s="575"/>
      <c r="ATD260" s="821"/>
      <c r="ATE260" s="821"/>
      <c r="ATF260" s="821"/>
      <c r="ATG260" s="821"/>
      <c r="ATH260" s="821"/>
      <c r="ATI260" s="821"/>
      <c r="ATJ260" s="821"/>
      <c r="ATK260" s="821"/>
      <c r="ATL260" s="821"/>
      <c r="ATM260" s="821"/>
      <c r="ATN260" s="821"/>
      <c r="ATO260" s="821"/>
      <c r="ATP260" s="821"/>
      <c r="ATQ260" s="821"/>
      <c r="ATR260" s="821"/>
      <c r="ATS260" s="821"/>
      <c r="ATT260" s="821"/>
      <c r="ATU260" s="821"/>
      <c r="ATV260" s="821"/>
      <c r="ATW260" s="575"/>
      <c r="ATX260" s="821"/>
      <c r="ATY260" s="821"/>
      <c r="ATZ260" s="821"/>
      <c r="AUA260" s="821"/>
      <c r="AUB260" s="821"/>
      <c r="AUC260" s="821"/>
      <c r="AUD260" s="821"/>
      <c r="AUE260" s="821"/>
      <c r="AUF260" s="821"/>
      <c r="AUG260" s="821"/>
      <c r="AUH260" s="821"/>
      <c r="AUI260" s="821"/>
      <c r="AUJ260" s="821"/>
      <c r="AUK260" s="821"/>
      <c r="AUL260" s="821"/>
      <c r="AUM260" s="821"/>
      <c r="AUN260" s="821"/>
      <c r="AUO260" s="821"/>
      <c r="AUP260" s="821"/>
      <c r="AUQ260" s="575"/>
      <c r="AUR260" s="821"/>
      <c r="AUS260" s="821"/>
      <c r="AUT260" s="821"/>
      <c r="AUU260" s="821"/>
      <c r="AUV260" s="821"/>
      <c r="AUW260" s="821"/>
      <c r="AUX260" s="821"/>
      <c r="AUY260" s="821"/>
      <c r="AUZ260" s="821"/>
      <c r="AVA260" s="821"/>
      <c r="AVB260" s="821"/>
      <c r="AVC260" s="821"/>
      <c r="AVD260" s="821"/>
      <c r="AVE260" s="821"/>
      <c r="AVF260" s="821"/>
      <c r="AVG260" s="821"/>
      <c r="AVH260" s="821"/>
      <c r="AVI260" s="821"/>
      <c r="AVJ260" s="821"/>
      <c r="AVK260" s="575"/>
      <c r="AVL260" s="821"/>
      <c r="AVM260" s="821"/>
      <c r="AVN260" s="821"/>
      <c r="AVO260" s="821"/>
      <c r="AVP260" s="821"/>
      <c r="AVQ260" s="821"/>
      <c r="AVR260" s="821"/>
      <c r="AVS260" s="821"/>
      <c r="AVT260" s="821"/>
      <c r="AVU260" s="821"/>
      <c r="AVV260" s="821"/>
      <c r="AVW260" s="821"/>
      <c r="AVX260" s="821"/>
      <c r="AVY260" s="821"/>
      <c r="AVZ260" s="821"/>
      <c r="AWA260" s="821"/>
      <c r="AWB260" s="821"/>
      <c r="AWC260" s="821"/>
      <c r="AWD260" s="821"/>
      <c r="AWE260" s="575"/>
      <c r="AWF260" s="821"/>
      <c r="AWG260" s="821"/>
      <c r="AWH260" s="821"/>
      <c r="AWI260" s="821"/>
      <c r="AWJ260" s="821"/>
      <c r="AWK260" s="821"/>
      <c r="AWL260" s="821"/>
      <c r="AWM260" s="821"/>
      <c r="AWN260" s="821"/>
      <c r="AWO260" s="821"/>
      <c r="AWP260" s="821"/>
      <c r="AWQ260" s="821"/>
      <c r="AWR260" s="821"/>
      <c r="AWS260" s="821"/>
      <c r="AWT260" s="821"/>
      <c r="AWU260" s="821"/>
      <c r="AWV260" s="821"/>
      <c r="AWW260" s="821"/>
      <c r="AWX260" s="821"/>
      <c r="AWY260" s="575"/>
      <c r="AWZ260" s="821"/>
      <c r="AXA260" s="821"/>
      <c r="AXB260" s="821"/>
      <c r="AXC260" s="821"/>
      <c r="AXD260" s="821"/>
      <c r="AXE260" s="821"/>
      <c r="AXF260" s="821"/>
      <c r="AXG260" s="821"/>
      <c r="AXH260" s="821"/>
      <c r="AXI260" s="821"/>
      <c r="AXJ260" s="821"/>
      <c r="AXK260" s="821"/>
      <c r="AXL260" s="821"/>
      <c r="AXM260" s="821"/>
      <c r="AXN260" s="821"/>
      <c r="AXO260" s="821"/>
      <c r="AXP260" s="821"/>
      <c r="AXQ260" s="821"/>
      <c r="AXR260" s="821"/>
      <c r="AXS260" s="575"/>
      <c r="AXT260" s="821"/>
      <c r="AXU260" s="821"/>
      <c r="AXV260" s="821"/>
      <c r="AXW260" s="821"/>
      <c r="AXX260" s="821"/>
      <c r="AXY260" s="821"/>
      <c r="AXZ260" s="821"/>
      <c r="AYA260" s="821"/>
      <c r="AYB260" s="821"/>
      <c r="AYC260" s="821"/>
      <c r="AYD260" s="821"/>
      <c r="AYE260" s="821"/>
      <c r="AYF260" s="821"/>
      <c r="AYG260" s="821"/>
      <c r="AYH260" s="821"/>
      <c r="AYI260" s="821"/>
      <c r="AYJ260" s="821"/>
      <c r="AYK260" s="821"/>
      <c r="AYL260" s="821"/>
      <c r="AYM260" s="575"/>
      <c r="AYN260" s="821"/>
      <c r="AYO260" s="821"/>
      <c r="AYP260" s="821"/>
      <c r="AYQ260" s="821"/>
      <c r="AYR260" s="821"/>
      <c r="AYS260" s="821"/>
      <c r="AYT260" s="821"/>
      <c r="AYU260" s="821"/>
      <c r="AYV260" s="821"/>
      <c r="AYW260" s="821"/>
      <c r="AYX260" s="821"/>
      <c r="AYY260" s="821"/>
      <c r="AYZ260" s="821"/>
      <c r="AZA260" s="821"/>
      <c r="AZB260" s="821"/>
      <c r="AZC260" s="821"/>
      <c r="AZD260" s="821"/>
      <c r="AZE260" s="821"/>
      <c r="AZF260" s="821"/>
      <c r="AZG260" s="575"/>
      <c r="AZH260" s="821"/>
      <c r="AZI260" s="821"/>
      <c r="AZJ260" s="821"/>
      <c r="AZK260" s="821"/>
      <c r="AZL260" s="821"/>
      <c r="AZM260" s="821"/>
      <c r="AZN260" s="821"/>
      <c r="AZO260" s="821"/>
      <c r="AZP260" s="821"/>
      <c r="AZQ260" s="821"/>
      <c r="AZR260" s="821"/>
      <c r="AZS260" s="821"/>
      <c r="AZT260" s="821"/>
      <c r="AZU260" s="821"/>
      <c r="AZV260" s="821"/>
      <c r="AZW260" s="821"/>
      <c r="AZX260" s="821"/>
      <c r="AZY260" s="821"/>
      <c r="AZZ260" s="821"/>
      <c r="BAA260" s="575"/>
      <c r="BAB260" s="821"/>
      <c r="BAC260" s="821"/>
      <c r="BAD260" s="821"/>
      <c r="BAE260" s="821"/>
      <c r="BAF260" s="821"/>
      <c r="BAG260" s="821"/>
      <c r="BAH260" s="821"/>
      <c r="BAI260" s="821"/>
      <c r="BAJ260" s="821"/>
      <c r="BAK260" s="821"/>
      <c r="BAL260" s="821"/>
      <c r="BAM260" s="821"/>
      <c r="BAN260" s="821"/>
      <c r="BAO260" s="821"/>
      <c r="BAP260" s="821"/>
      <c r="BAQ260" s="821"/>
      <c r="BAR260" s="821"/>
      <c r="BAS260" s="821"/>
      <c r="BAT260" s="821"/>
      <c r="BAU260" s="575"/>
      <c r="BAV260" s="821"/>
      <c r="BAW260" s="821"/>
      <c r="BAX260" s="821"/>
      <c r="BAY260" s="821"/>
      <c r="BAZ260" s="821"/>
      <c r="BBA260" s="821"/>
      <c r="BBB260" s="821"/>
      <c r="BBC260" s="821"/>
      <c r="BBD260" s="821"/>
      <c r="BBE260" s="821"/>
      <c r="BBF260" s="821"/>
      <c r="BBG260" s="821"/>
      <c r="BBH260" s="821"/>
      <c r="BBI260" s="821"/>
      <c r="BBJ260" s="821"/>
      <c r="BBK260" s="821"/>
      <c r="BBL260" s="821"/>
      <c r="BBM260" s="821"/>
      <c r="BBN260" s="821"/>
      <c r="BBO260" s="575"/>
      <c r="BBP260" s="821"/>
      <c r="BBQ260" s="821"/>
      <c r="BBR260" s="821"/>
      <c r="BBS260" s="821"/>
      <c r="BBT260" s="821"/>
      <c r="BBU260" s="821"/>
      <c r="BBV260" s="821"/>
      <c r="BBW260" s="821"/>
      <c r="BBX260" s="821"/>
      <c r="BBY260" s="821"/>
      <c r="BBZ260" s="821"/>
      <c r="BCA260" s="821"/>
      <c r="BCB260" s="821"/>
      <c r="BCC260" s="821"/>
      <c r="BCD260" s="821"/>
      <c r="BCE260" s="821"/>
      <c r="BCF260" s="821"/>
      <c r="BCG260" s="821"/>
      <c r="BCH260" s="821"/>
      <c r="BCI260" s="575"/>
      <c r="BCJ260" s="821"/>
      <c r="BCK260" s="821"/>
      <c r="BCL260" s="821"/>
      <c r="BCM260" s="821"/>
      <c r="BCN260" s="821"/>
      <c r="BCO260" s="821"/>
      <c r="BCP260" s="821"/>
      <c r="BCQ260" s="821"/>
      <c r="BCR260" s="821"/>
      <c r="BCS260" s="821"/>
      <c r="BCT260" s="821"/>
      <c r="BCU260" s="821"/>
      <c r="BCV260" s="821"/>
      <c r="BCW260" s="821"/>
      <c r="BCX260" s="821"/>
      <c r="BCY260" s="821"/>
      <c r="BCZ260" s="821"/>
      <c r="BDA260" s="821"/>
      <c r="BDB260" s="821"/>
      <c r="BDC260" s="575"/>
      <c r="BDD260" s="821"/>
      <c r="BDE260" s="821"/>
      <c r="BDF260" s="821"/>
      <c r="BDG260" s="821"/>
      <c r="BDH260" s="821"/>
      <c r="BDI260" s="821"/>
      <c r="BDJ260" s="821"/>
      <c r="BDK260" s="821"/>
      <c r="BDL260" s="821"/>
      <c r="BDM260" s="821"/>
      <c r="BDN260" s="821"/>
      <c r="BDO260" s="821"/>
      <c r="BDP260" s="821"/>
      <c r="BDQ260" s="821"/>
      <c r="BDR260" s="821"/>
      <c r="BDS260" s="821"/>
      <c r="BDT260" s="821"/>
      <c r="BDU260" s="821"/>
      <c r="BDV260" s="821"/>
      <c r="BDW260" s="575"/>
      <c r="BDX260" s="821"/>
      <c r="BDY260" s="821"/>
      <c r="BDZ260" s="821"/>
      <c r="BEA260" s="821"/>
      <c r="BEB260" s="821"/>
      <c r="BEC260" s="821"/>
      <c r="BED260" s="821"/>
      <c r="BEE260" s="821"/>
      <c r="BEF260" s="821"/>
      <c r="BEG260" s="821"/>
      <c r="BEH260" s="821"/>
      <c r="BEI260" s="821"/>
      <c r="BEJ260" s="821"/>
      <c r="BEK260" s="821"/>
      <c r="BEL260" s="821"/>
      <c r="BEM260" s="821"/>
      <c r="BEN260" s="821"/>
      <c r="BEO260" s="821"/>
      <c r="BEP260" s="821"/>
      <c r="BEQ260" s="575"/>
      <c r="BER260" s="821"/>
      <c r="BES260" s="821"/>
      <c r="BET260" s="821"/>
      <c r="BEU260" s="821"/>
      <c r="BEV260" s="821"/>
      <c r="BEW260" s="821"/>
      <c r="BEX260" s="821"/>
      <c r="BEY260" s="821"/>
      <c r="BEZ260" s="821"/>
      <c r="BFA260" s="821"/>
      <c r="BFB260" s="821"/>
      <c r="BFC260" s="821"/>
      <c r="BFD260" s="821"/>
      <c r="BFE260" s="821"/>
      <c r="BFF260" s="821"/>
      <c r="BFG260" s="821"/>
      <c r="BFH260" s="821"/>
      <c r="BFI260" s="821"/>
      <c r="BFJ260" s="821"/>
      <c r="BFK260" s="575"/>
      <c r="BFL260" s="821"/>
      <c r="BFM260" s="821"/>
      <c r="BFN260" s="821"/>
      <c r="BFO260" s="821"/>
      <c r="BFP260" s="821"/>
      <c r="BFQ260" s="821"/>
      <c r="BFR260" s="821"/>
      <c r="BFS260" s="821"/>
      <c r="BFT260" s="821"/>
      <c r="BFU260" s="821"/>
      <c r="BFV260" s="821"/>
      <c r="BFW260" s="821"/>
      <c r="BFX260" s="821"/>
      <c r="BFY260" s="821"/>
      <c r="BFZ260" s="821"/>
      <c r="BGA260" s="821"/>
      <c r="BGB260" s="821"/>
      <c r="BGC260" s="821"/>
      <c r="BGD260" s="821"/>
      <c r="BGE260" s="575"/>
      <c r="BGF260" s="821"/>
      <c r="BGG260" s="821"/>
      <c r="BGH260" s="821"/>
      <c r="BGI260" s="821"/>
      <c r="BGJ260" s="821"/>
      <c r="BGK260" s="821"/>
      <c r="BGL260" s="821"/>
      <c r="BGM260" s="821"/>
      <c r="BGN260" s="821"/>
      <c r="BGO260" s="821"/>
      <c r="BGP260" s="821"/>
      <c r="BGQ260" s="821"/>
      <c r="BGR260" s="821"/>
      <c r="BGS260" s="821"/>
      <c r="BGT260" s="821"/>
      <c r="BGU260" s="821"/>
      <c r="BGV260" s="821"/>
      <c r="BGW260" s="821"/>
      <c r="BGX260" s="821"/>
      <c r="BGY260" s="575"/>
      <c r="BGZ260" s="821"/>
      <c r="BHA260" s="821"/>
      <c r="BHB260" s="821"/>
      <c r="BHC260" s="821"/>
      <c r="BHD260" s="821"/>
      <c r="BHE260" s="821"/>
      <c r="BHF260" s="821"/>
      <c r="BHG260" s="821"/>
      <c r="BHH260" s="821"/>
      <c r="BHI260" s="821"/>
      <c r="BHJ260" s="821"/>
      <c r="BHK260" s="821"/>
      <c r="BHL260" s="821"/>
      <c r="BHM260" s="821"/>
      <c r="BHN260" s="821"/>
      <c r="BHO260" s="821"/>
      <c r="BHP260" s="821"/>
      <c r="BHQ260" s="821"/>
      <c r="BHR260" s="821"/>
      <c r="BHS260" s="575"/>
      <c r="BHT260" s="821"/>
      <c r="BHU260" s="821"/>
      <c r="BHV260" s="821"/>
      <c r="BHW260" s="821"/>
      <c r="BHX260" s="821"/>
      <c r="BHY260" s="821"/>
      <c r="BHZ260" s="821"/>
      <c r="BIA260" s="821"/>
      <c r="BIB260" s="821"/>
      <c r="BIC260" s="821"/>
      <c r="BID260" s="821"/>
      <c r="BIE260" s="821"/>
      <c r="BIF260" s="821"/>
      <c r="BIG260" s="821"/>
      <c r="BIH260" s="821"/>
      <c r="BII260" s="821"/>
      <c r="BIJ260" s="821"/>
      <c r="BIK260" s="821"/>
      <c r="BIL260" s="821"/>
      <c r="BIM260" s="575"/>
      <c r="BIN260" s="821"/>
      <c r="BIO260" s="821"/>
      <c r="BIP260" s="821"/>
      <c r="BIQ260" s="821"/>
      <c r="BIR260" s="821"/>
      <c r="BIS260" s="821"/>
      <c r="BIT260" s="821"/>
      <c r="BIU260" s="821"/>
      <c r="BIV260" s="821"/>
      <c r="BIW260" s="821"/>
      <c r="BIX260" s="821"/>
      <c r="BIY260" s="821"/>
      <c r="BIZ260" s="821"/>
      <c r="BJA260" s="821"/>
      <c r="BJB260" s="821"/>
      <c r="BJC260" s="821"/>
      <c r="BJD260" s="821"/>
      <c r="BJE260" s="821"/>
      <c r="BJF260" s="821"/>
      <c r="BJG260" s="575"/>
      <c r="BJH260" s="821"/>
      <c r="BJI260" s="821"/>
      <c r="BJJ260" s="821"/>
      <c r="BJK260" s="821"/>
      <c r="BJL260" s="821"/>
      <c r="BJM260" s="821"/>
      <c r="BJN260" s="821"/>
      <c r="BJO260" s="821"/>
      <c r="BJP260" s="821"/>
      <c r="BJQ260" s="821"/>
      <c r="BJR260" s="821"/>
      <c r="BJS260" s="821"/>
      <c r="BJT260" s="821"/>
      <c r="BJU260" s="821"/>
      <c r="BJV260" s="821"/>
      <c r="BJW260" s="821"/>
      <c r="BJX260" s="821"/>
      <c r="BJY260" s="821"/>
      <c r="BJZ260" s="821"/>
      <c r="BKA260" s="575"/>
      <c r="BKB260" s="821"/>
      <c r="BKC260" s="821"/>
      <c r="BKD260" s="821"/>
      <c r="BKE260" s="821"/>
      <c r="BKF260" s="821"/>
      <c r="BKG260" s="821"/>
      <c r="BKH260" s="821"/>
      <c r="BKI260" s="821"/>
      <c r="BKJ260" s="821"/>
      <c r="BKK260" s="821"/>
      <c r="BKL260" s="821"/>
      <c r="BKM260" s="821"/>
      <c r="BKN260" s="821"/>
      <c r="BKO260" s="821"/>
      <c r="BKP260" s="821"/>
      <c r="BKQ260" s="821"/>
      <c r="BKR260" s="821"/>
      <c r="BKS260" s="821"/>
      <c r="BKT260" s="821"/>
      <c r="BKU260" s="575"/>
      <c r="BKV260" s="821"/>
      <c r="BKW260" s="821"/>
      <c r="BKX260" s="821"/>
      <c r="BKY260" s="821"/>
      <c r="BKZ260" s="821"/>
      <c r="BLA260" s="821"/>
      <c r="BLB260" s="821"/>
      <c r="BLC260" s="821"/>
      <c r="BLD260" s="821"/>
      <c r="BLE260" s="821"/>
      <c r="BLF260" s="821"/>
      <c r="BLG260" s="821"/>
      <c r="BLH260" s="821"/>
      <c r="BLI260" s="821"/>
      <c r="BLJ260" s="821"/>
      <c r="BLK260" s="821"/>
      <c r="BLL260" s="821"/>
      <c r="BLM260" s="821"/>
      <c r="BLN260" s="821"/>
      <c r="BLO260" s="575"/>
      <c r="BLP260" s="821"/>
      <c r="BLQ260" s="821"/>
      <c r="BLR260" s="821"/>
      <c r="BLS260" s="821"/>
      <c r="BLT260" s="821"/>
      <c r="BLU260" s="821"/>
      <c r="BLV260" s="821"/>
      <c r="BLW260" s="821"/>
      <c r="BLX260" s="821"/>
      <c r="BLY260" s="821"/>
      <c r="BLZ260" s="821"/>
      <c r="BMA260" s="821"/>
      <c r="BMB260" s="821"/>
      <c r="BMC260" s="821"/>
      <c r="BMD260" s="821"/>
      <c r="BME260" s="821"/>
      <c r="BMF260" s="821"/>
      <c r="BMG260" s="821"/>
      <c r="BMH260" s="821"/>
      <c r="BMI260" s="575"/>
      <c r="BMJ260" s="821"/>
      <c r="BMK260" s="821"/>
      <c r="BML260" s="821"/>
      <c r="BMM260" s="821"/>
      <c r="BMN260" s="821"/>
      <c r="BMO260" s="821"/>
      <c r="BMP260" s="821"/>
      <c r="BMQ260" s="821"/>
      <c r="BMR260" s="821"/>
      <c r="BMS260" s="821"/>
      <c r="BMT260" s="821"/>
      <c r="BMU260" s="821"/>
      <c r="BMV260" s="821"/>
      <c r="BMW260" s="821"/>
      <c r="BMX260" s="821"/>
      <c r="BMY260" s="821"/>
      <c r="BMZ260" s="821"/>
      <c r="BNA260" s="821"/>
      <c r="BNB260" s="821"/>
      <c r="BNC260" s="575"/>
      <c r="BND260" s="821"/>
      <c r="BNE260" s="821"/>
      <c r="BNF260" s="821"/>
      <c r="BNG260" s="821"/>
      <c r="BNH260" s="821"/>
      <c r="BNI260" s="821"/>
      <c r="BNJ260" s="821"/>
      <c r="BNK260" s="821"/>
      <c r="BNL260" s="821"/>
      <c r="BNM260" s="821"/>
      <c r="BNN260" s="821"/>
      <c r="BNO260" s="821"/>
      <c r="BNP260" s="821"/>
      <c r="BNQ260" s="821"/>
      <c r="BNR260" s="821"/>
      <c r="BNS260" s="821"/>
      <c r="BNT260" s="821"/>
      <c r="BNU260" s="821"/>
      <c r="BNV260" s="821"/>
      <c r="BNW260" s="575"/>
      <c r="BNX260" s="821"/>
      <c r="BNY260" s="821"/>
      <c r="BNZ260" s="821"/>
      <c r="BOA260" s="821"/>
      <c r="BOB260" s="821"/>
      <c r="BOC260" s="821"/>
      <c r="BOD260" s="821"/>
      <c r="BOE260" s="821"/>
      <c r="BOF260" s="821"/>
      <c r="BOG260" s="821"/>
      <c r="BOH260" s="821"/>
      <c r="BOI260" s="821"/>
      <c r="BOJ260" s="821"/>
      <c r="BOK260" s="821"/>
      <c r="BOL260" s="821"/>
      <c r="BOM260" s="821"/>
      <c r="BON260" s="821"/>
      <c r="BOO260" s="821"/>
      <c r="BOP260" s="821"/>
      <c r="BOQ260" s="575"/>
      <c r="BOR260" s="821"/>
      <c r="BOS260" s="821"/>
      <c r="BOT260" s="821"/>
      <c r="BOU260" s="821"/>
      <c r="BOV260" s="821"/>
      <c r="BOW260" s="821"/>
      <c r="BOX260" s="821"/>
      <c r="BOY260" s="821"/>
      <c r="BOZ260" s="821"/>
      <c r="BPA260" s="821"/>
      <c r="BPB260" s="821"/>
      <c r="BPC260" s="821"/>
      <c r="BPD260" s="821"/>
      <c r="BPE260" s="821"/>
      <c r="BPF260" s="821"/>
      <c r="BPG260" s="821"/>
      <c r="BPH260" s="821"/>
      <c r="BPI260" s="821"/>
      <c r="BPJ260" s="821"/>
      <c r="BPK260" s="575"/>
      <c r="BPL260" s="821"/>
      <c r="BPM260" s="821"/>
      <c r="BPN260" s="821"/>
      <c r="BPO260" s="821"/>
      <c r="BPP260" s="821"/>
      <c r="BPQ260" s="821"/>
      <c r="BPR260" s="821"/>
      <c r="BPS260" s="821"/>
      <c r="BPT260" s="821"/>
      <c r="BPU260" s="821"/>
      <c r="BPV260" s="821"/>
      <c r="BPW260" s="821"/>
      <c r="BPX260" s="821"/>
      <c r="BPY260" s="821"/>
      <c r="BPZ260" s="821"/>
      <c r="BQA260" s="821"/>
      <c r="BQB260" s="821"/>
      <c r="BQC260" s="821"/>
      <c r="BQD260" s="821"/>
      <c r="BQE260" s="575"/>
      <c r="BQF260" s="821"/>
      <c r="BQG260" s="821"/>
      <c r="BQH260" s="821"/>
      <c r="BQI260" s="821"/>
      <c r="BQJ260" s="821"/>
      <c r="BQK260" s="821"/>
      <c r="BQL260" s="821"/>
      <c r="BQM260" s="821"/>
      <c r="BQN260" s="821"/>
      <c r="BQO260" s="821"/>
      <c r="BQP260" s="821"/>
      <c r="BQQ260" s="821"/>
      <c r="BQR260" s="821"/>
      <c r="BQS260" s="821"/>
      <c r="BQT260" s="821"/>
      <c r="BQU260" s="821"/>
      <c r="BQV260" s="821"/>
      <c r="BQW260" s="821"/>
      <c r="BQX260" s="821"/>
      <c r="BQY260" s="575"/>
      <c r="BQZ260" s="821"/>
      <c r="BRA260" s="821"/>
      <c r="BRB260" s="821"/>
      <c r="BRC260" s="821"/>
      <c r="BRD260" s="821"/>
      <c r="BRE260" s="821"/>
      <c r="BRF260" s="821"/>
      <c r="BRG260" s="821"/>
      <c r="BRH260" s="821"/>
      <c r="BRI260" s="821"/>
      <c r="BRJ260" s="821"/>
      <c r="BRK260" s="821"/>
      <c r="BRL260" s="821"/>
      <c r="BRM260" s="821"/>
      <c r="BRN260" s="821"/>
      <c r="BRO260" s="821"/>
      <c r="BRP260" s="821"/>
      <c r="BRQ260" s="821"/>
      <c r="BRR260" s="821"/>
      <c r="BRS260" s="575"/>
      <c r="BRT260" s="821"/>
      <c r="BRU260" s="821"/>
      <c r="BRV260" s="821"/>
      <c r="BRW260" s="821"/>
      <c r="BRX260" s="821"/>
      <c r="BRY260" s="821"/>
      <c r="BRZ260" s="821"/>
      <c r="BSA260" s="821"/>
      <c r="BSB260" s="821"/>
      <c r="BSC260" s="821"/>
      <c r="BSD260" s="821"/>
      <c r="BSE260" s="821"/>
      <c r="BSF260" s="821"/>
      <c r="BSG260" s="821"/>
      <c r="BSH260" s="821"/>
      <c r="BSI260" s="821"/>
      <c r="BSJ260" s="821"/>
      <c r="BSK260" s="821"/>
      <c r="BSL260" s="821"/>
      <c r="BSM260" s="575"/>
      <c r="BSN260" s="821"/>
      <c r="BSO260" s="821"/>
      <c r="BSP260" s="821"/>
      <c r="BSQ260" s="821"/>
      <c r="BSR260" s="821"/>
      <c r="BSS260" s="821"/>
      <c r="BST260" s="821"/>
      <c r="BSU260" s="821"/>
      <c r="BSV260" s="821"/>
      <c r="BSW260" s="821"/>
      <c r="BSX260" s="821"/>
      <c r="BSY260" s="821"/>
      <c r="BSZ260" s="821"/>
      <c r="BTA260" s="821"/>
      <c r="BTB260" s="821"/>
      <c r="BTC260" s="821"/>
      <c r="BTD260" s="821"/>
      <c r="BTE260" s="821"/>
      <c r="BTF260" s="821"/>
      <c r="BTG260" s="575"/>
      <c r="BTH260" s="821"/>
      <c r="BTI260" s="821"/>
      <c r="BTJ260" s="821"/>
      <c r="BTK260" s="821"/>
      <c r="BTL260" s="821"/>
      <c r="BTM260" s="821"/>
      <c r="BTN260" s="821"/>
      <c r="BTO260" s="821"/>
      <c r="BTP260" s="821"/>
      <c r="BTQ260" s="821"/>
      <c r="BTR260" s="821"/>
      <c r="BTS260" s="821"/>
      <c r="BTT260" s="821"/>
      <c r="BTU260" s="821"/>
      <c r="BTV260" s="821"/>
      <c r="BTW260" s="821"/>
      <c r="BTX260" s="821"/>
      <c r="BTY260" s="821"/>
      <c r="BTZ260" s="821"/>
      <c r="BUA260" s="575"/>
      <c r="BUB260" s="821"/>
      <c r="BUC260" s="821"/>
      <c r="BUD260" s="821"/>
      <c r="BUE260" s="821"/>
      <c r="BUF260" s="821"/>
      <c r="BUG260" s="821"/>
      <c r="BUH260" s="821"/>
      <c r="BUI260" s="821"/>
      <c r="BUJ260" s="821"/>
      <c r="BUK260" s="821"/>
      <c r="BUL260" s="821"/>
      <c r="BUM260" s="821"/>
      <c r="BUN260" s="821"/>
      <c r="BUO260" s="821"/>
      <c r="BUP260" s="821"/>
      <c r="BUQ260" s="821"/>
      <c r="BUR260" s="821"/>
      <c r="BUS260" s="821"/>
      <c r="BUT260" s="821"/>
      <c r="BUU260" s="575"/>
      <c r="BUV260" s="821"/>
      <c r="BUW260" s="821"/>
      <c r="BUX260" s="821"/>
      <c r="BUY260" s="821"/>
      <c r="BUZ260" s="821"/>
      <c r="BVA260" s="821"/>
      <c r="BVB260" s="821"/>
      <c r="BVC260" s="821"/>
      <c r="BVD260" s="821"/>
      <c r="BVE260" s="821"/>
      <c r="BVF260" s="821"/>
      <c r="BVG260" s="821"/>
      <c r="BVH260" s="821"/>
      <c r="BVI260" s="821"/>
      <c r="BVJ260" s="821"/>
      <c r="BVK260" s="821"/>
      <c r="BVL260" s="821"/>
      <c r="BVM260" s="821"/>
      <c r="BVN260" s="821"/>
      <c r="BVO260" s="575"/>
      <c r="BVP260" s="821"/>
      <c r="BVQ260" s="821"/>
      <c r="BVR260" s="821"/>
      <c r="BVS260" s="821"/>
      <c r="BVT260" s="821"/>
      <c r="BVU260" s="821"/>
      <c r="BVV260" s="821"/>
      <c r="BVW260" s="821"/>
      <c r="BVX260" s="821"/>
      <c r="BVY260" s="821"/>
      <c r="BVZ260" s="821"/>
      <c r="BWA260" s="821"/>
      <c r="BWB260" s="821"/>
      <c r="BWC260" s="821"/>
      <c r="BWD260" s="821"/>
      <c r="BWE260" s="821"/>
      <c r="BWF260" s="821"/>
      <c r="BWG260" s="821"/>
      <c r="BWH260" s="821"/>
      <c r="BWI260" s="575"/>
      <c r="BWJ260" s="821"/>
      <c r="BWK260" s="821"/>
      <c r="BWL260" s="821"/>
      <c r="BWM260" s="821"/>
      <c r="BWN260" s="821"/>
      <c r="BWO260" s="821"/>
      <c r="BWP260" s="821"/>
      <c r="BWQ260" s="821"/>
      <c r="BWR260" s="821"/>
      <c r="BWS260" s="821"/>
      <c r="BWT260" s="821"/>
      <c r="BWU260" s="821"/>
      <c r="BWV260" s="821"/>
      <c r="BWW260" s="821"/>
      <c r="BWX260" s="821"/>
      <c r="BWY260" s="821"/>
      <c r="BWZ260" s="821"/>
      <c r="BXA260" s="821"/>
      <c r="BXB260" s="821"/>
      <c r="BXC260" s="575"/>
      <c r="BXD260" s="821"/>
      <c r="BXE260" s="821"/>
      <c r="BXF260" s="821"/>
      <c r="BXG260" s="821"/>
      <c r="BXH260" s="821"/>
      <c r="BXI260" s="821"/>
      <c r="BXJ260" s="821"/>
      <c r="BXK260" s="821"/>
      <c r="BXL260" s="821"/>
      <c r="BXM260" s="821"/>
      <c r="BXN260" s="821"/>
      <c r="BXO260" s="821"/>
      <c r="BXP260" s="821"/>
      <c r="BXQ260" s="821"/>
      <c r="BXR260" s="821"/>
      <c r="BXS260" s="821"/>
      <c r="BXT260" s="821"/>
      <c r="BXU260" s="821"/>
      <c r="BXV260" s="821"/>
      <c r="BXW260" s="575"/>
      <c r="BXX260" s="821"/>
      <c r="BXY260" s="821"/>
      <c r="BXZ260" s="821"/>
      <c r="BYA260" s="821"/>
      <c r="BYB260" s="821"/>
      <c r="BYC260" s="821"/>
      <c r="BYD260" s="821"/>
      <c r="BYE260" s="821"/>
      <c r="BYF260" s="821"/>
      <c r="BYG260" s="821"/>
      <c r="BYH260" s="821"/>
      <c r="BYI260" s="821"/>
      <c r="BYJ260" s="821"/>
      <c r="BYK260" s="821"/>
      <c r="BYL260" s="821"/>
      <c r="BYM260" s="821"/>
      <c r="BYN260" s="821"/>
      <c r="BYO260" s="821"/>
      <c r="BYP260" s="821"/>
      <c r="BYQ260" s="575"/>
      <c r="BYR260" s="821"/>
      <c r="BYS260" s="821"/>
      <c r="BYT260" s="821"/>
      <c r="BYU260" s="821"/>
      <c r="BYV260" s="821"/>
      <c r="BYW260" s="821"/>
      <c r="BYX260" s="821"/>
      <c r="BYY260" s="821"/>
      <c r="BYZ260" s="821"/>
      <c r="BZA260" s="821"/>
      <c r="BZB260" s="821"/>
      <c r="BZC260" s="821"/>
      <c r="BZD260" s="821"/>
      <c r="BZE260" s="821"/>
      <c r="BZF260" s="821"/>
      <c r="BZG260" s="821"/>
      <c r="BZH260" s="821"/>
      <c r="BZI260" s="821"/>
      <c r="BZJ260" s="821"/>
      <c r="BZK260" s="575"/>
      <c r="BZL260" s="821"/>
      <c r="BZM260" s="821"/>
      <c r="BZN260" s="821"/>
      <c r="BZO260" s="821"/>
      <c r="BZP260" s="821"/>
      <c r="BZQ260" s="821"/>
      <c r="BZR260" s="821"/>
      <c r="BZS260" s="821"/>
      <c r="BZT260" s="821"/>
      <c r="BZU260" s="821"/>
      <c r="BZV260" s="821"/>
      <c r="BZW260" s="821"/>
      <c r="BZX260" s="821"/>
      <c r="BZY260" s="821"/>
      <c r="BZZ260" s="821"/>
      <c r="CAA260" s="821"/>
      <c r="CAB260" s="821"/>
      <c r="CAC260" s="821"/>
      <c r="CAD260" s="821"/>
      <c r="CAE260" s="575"/>
      <c r="CAF260" s="821"/>
      <c r="CAG260" s="821"/>
      <c r="CAH260" s="821"/>
      <c r="CAI260" s="821"/>
      <c r="CAJ260" s="821"/>
      <c r="CAK260" s="821"/>
      <c r="CAL260" s="821"/>
      <c r="CAM260" s="821"/>
      <c r="CAN260" s="821"/>
      <c r="CAO260" s="821"/>
      <c r="CAP260" s="821"/>
      <c r="CAQ260" s="821"/>
      <c r="CAR260" s="821"/>
      <c r="CAS260" s="821"/>
      <c r="CAT260" s="821"/>
      <c r="CAU260" s="821"/>
      <c r="CAV260" s="821"/>
      <c r="CAW260" s="821"/>
      <c r="CAX260" s="821"/>
      <c r="CAY260" s="575"/>
      <c r="CAZ260" s="821"/>
      <c r="CBA260" s="821"/>
      <c r="CBB260" s="821"/>
      <c r="CBC260" s="821"/>
      <c r="CBD260" s="821"/>
      <c r="CBE260" s="821"/>
      <c r="CBF260" s="821"/>
      <c r="CBG260" s="821"/>
      <c r="CBH260" s="821"/>
      <c r="CBI260" s="821"/>
      <c r="CBJ260" s="821"/>
      <c r="CBK260" s="821"/>
      <c r="CBL260" s="821"/>
      <c r="CBM260" s="821"/>
      <c r="CBN260" s="821"/>
      <c r="CBO260" s="821"/>
      <c r="CBP260" s="821"/>
      <c r="CBQ260" s="821"/>
      <c r="CBR260" s="821"/>
      <c r="CBS260" s="575"/>
      <c r="CBT260" s="821"/>
      <c r="CBU260" s="821"/>
      <c r="CBV260" s="821"/>
      <c r="CBW260" s="821"/>
      <c r="CBX260" s="821"/>
      <c r="CBY260" s="821"/>
      <c r="CBZ260" s="821"/>
      <c r="CCA260" s="821"/>
      <c r="CCB260" s="821"/>
      <c r="CCC260" s="821"/>
      <c r="CCD260" s="821"/>
      <c r="CCE260" s="821"/>
      <c r="CCF260" s="821"/>
      <c r="CCG260" s="821"/>
      <c r="CCH260" s="821"/>
      <c r="CCI260" s="821"/>
      <c r="CCJ260" s="821"/>
      <c r="CCK260" s="821"/>
      <c r="CCL260" s="821"/>
      <c r="CCM260" s="575"/>
      <c r="CCN260" s="821"/>
      <c r="CCO260" s="821"/>
      <c r="CCP260" s="821"/>
      <c r="CCQ260" s="821"/>
      <c r="CCR260" s="821"/>
      <c r="CCS260" s="821"/>
      <c r="CCT260" s="821"/>
      <c r="CCU260" s="821"/>
      <c r="CCV260" s="821"/>
      <c r="CCW260" s="821"/>
      <c r="CCX260" s="821"/>
      <c r="CCY260" s="821"/>
      <c r="CCZ260" s="821"/>
      <c r="CDA260" s="821"/>
      <c r="CDB260" s="821"/>
      <c r="CDC260" s="821"/>
      <c r="CDD260" s="821"/>
      <c r="CDE260" s="821"/>
      <c r="CDF260" s="821"/>
      <c r="CDG260" s="575"/>
      <c r="CDH260" s="821"/>
      <c r="CDI260" s="821"/>
      <c r="CDJ260" s="821"/>
      <c r="CDK260" s="821"/>
      <c r="CDL260" s="821"/>
      <c r="CDM260" s="821"/>
      <c r="CDN260" s="821"/>
      <c r="CDO260" s="821"/>
      <c r="CDP260" s="821"/>
      <c r="CDQ260" s="821"/>
      <c r="CDR260" s="821"/>
      <c r="CDS260" s="821"/>
      <c r="CDT260" s="821"/>
      <c r="CDU260" s="821"/>
      <c r="CDV260" s="821"/>
      <c r="CDW260" s="821"/>
      <c r="CDX260" s="821"/>
      <c r="CDY260" s="821"/>
      <c r="CDZ260" s="821"/>
      <c r="CEA260" s="575"/>
      <c r="CEB260" s="821"/>
      <c r="CEC260" s="821"/>
      <c r="CED260" s="821"/>
      <c r="CEE260" s="821"/>
      <c r="CEF260" s="821"/>
      <c r="CEG260" s="821"/>
      <c r="CEH260" s="821"/>
      <c r="CEI260" s="821"/>
      <c r="CEJ260" s="821"/>
      <c r="CEK260" s="821"/>
      <c r="CEL260" s="821"/>
      <c r="CEM260" s="821"/>
      <c r="CEN260" s="821"/>
      <c r="CEO260" s="821"/>
      <c r="CEP260" s="821"/>
      <c r="CEQ260" s="821"/>
      <c r="CER260" s="821"/>
      <c r="CES260" s="821"/>
      <c r="CET260" s="821"/>
      <c r="CEU260" s="575"/>
      <c r="CEV260" s="821"/>
      <c r="CEW260" s="821"/>
      <c r="CEX260" s="821"/>
      <c r="CEY260" s="821"/>
      <c r="CEZ260" s="821"/>
      <c r="CFA260" s="821"/>
      <c r="CFB260" s="821"/>
      <c r="CFC260" s="821"/>
      <c r="CFD260" s="821"/>
      <c r="CFE260" s="821"/>
      <c r="CFF260" s="821"/>
      <c r="CFG260" s="821"/>
      <c r="CFH260" s="821"/>
      <c r="CFI260" s="821"/>
      <c r="CFJ260" s="821"/>
      <c r="CFK260" s="821"/>
      <c r="CFL260" s="821"/>
      <c r="CFM260" s="821"/>
      <c r="CFN260" s="821"/>
      <c r="CFO260" s="575"/>
      <c r="CFP260" s="821"/>
      <c r="CFQ260" s="821"/>
      <c r="CFR260" s="821"/>
      <c r="CFS260" s="821"/>
      <c r="CFT260" s="821"/>
      <c r="CFU260" s="821"/>
      <c r="CFV260" s="821"/>
      <c r="CFW260" s="821"/>
      <c r="CFX260" s="821"/>
      <c r="CFY260" s="821"/>
      <c r="CFZ260" s="821"/>
      <c r="CGA260" s="821"/>
      <c r="CGB260" s="821"/>
      <c r="CGC260" s="821"/>
      <c r="CGD260" s="821"/>
      <c r="CGE260" s="821"/>
      <c r="CGF260" s="821"/>
      <c r="CGG260" s="821"/>
      <c r="CGH260" s="821"/>
      <c r="CGI260" s="575"/>
      <c r="CGJ260" s="821"/>
      <c r="CGK260" s="821"/>
      <c r="CGL260" s="821"/>
      <c r="CGM260" s="821"/>
      <c r="CGN260" s="821"/>
      <c r="CGO260" s="821"/>
      <c r="CGP260" s="821"/>
      <c r="CGQ260" s="821"/>
      <c r="CGR260" s="821"/>
      <c r="CGS260" s="821"/>
      <c r="CGT260" s="821"/>
      <c r="CGU260" s="821"/>
      <c r="CGV260" s="821"/>
      <c r="CGW260" s="821"/>
      <c r="CGX260" s="821"/>
      <c r="CGY260" s="821"/>
      <c r="CGZ260" s="821"/>
      <c r="CHA260" s="821"/>
      <c r="CHB260" s="821"/>
      <c r="CHC260" s="575"/>
      <c r="CHD260" s="821"/>
      <c r="CHE260" s="821"/>
      <c r="CHF260" s="821"/>
      <c r="CHG260" s="821"/>
      <c r="CHH260" s="821"/>
      <c r="CHI260" s="821"/>
      <c r="CHJ260" s="821"/>
      <c r="CHK260" s="821"/>
      <c r="CHL260" s="821"/>
      <c r="CHM260" s="821"/>
      <c r="CHN260" s="821"/>
      <c r="CHO260" s="821"/>
      <c r="CHP260" s="821"/>
      <c r="CHQ260" s="821"/>
      <c r="CHR260" s="821"/>
      <c r="CHS260" s="821"/>
      <c r="CHT260" s="821"/>
      <c r="CHU260" s="821"/>
      <c r="CHV260" s="821"/>
      <c r="CHW260" s="575"/>
      <c r="CHX260" s="821"/>
      <c r="CHY260" s="821"/>
      <c r="CHZ260" s="821"/>
      <c r="CIA260" s="821"/>
      <c r="CIB260" s="821"/>
      <c r="CIC260" s="821"/>
      <c r="CID260" s="821"/>
      <c r="CIE260" s="821"/>
      <c r="CIF260" s="821"/>
      <c r="CIG260" s="821"/>
      <c r="CIH260" s="821"/>
      <c r="CII260" s="821"/>
      <c r="CIJ260" s="821"/>
      <c r="CIK260" s="821"/>
      <c r="CIL260" s="821"/>
      <c r="CIM260" s="821"/>
      <c r="CIN260" s="821"/>
      <c r="CIO260" s="821"/>
      <c r="CIP260" s="821"/>
      <c r="CIQ260" s="575"/>
      <c r="CIR260" s="821"/>
      <c r="CIS260" s="821"/>
      <c r="CIT260" s="821"/>
      <c r="CIU260" s="821"/>
      <c r="CIV260" s="821"/>
      <c r="CIW260" s="821"/>
      <c r="CIX260" s="821"/>
      <c r="CIY260" s="821"/>
      <c r="CIZ260" s="821"/>
      <c r="CJA260" s="821"/>
      <c r="CJB260" s="821"/>
      <c r="CJC260" s="821"/>
      <c r="CJD260" s="821"/>
      <c r="CJE260" s="821"/>
      <c r="CJF260" s="821"/>
      <c r="CJG260" s="821"/>
      <c r="CJH260" s="821"/>
      <c r="CJI260" s="821"/>
      <c r="CJJ260" s="821"/>
      <c r="CJK260" s="575"/>
      <c r="CJL260" s="821"/>
      <c r="CJM260" s="821"/>
      <c r="CJN260" s="821"/>
      <c r="CJO260" s="821"/>
      <c r="CJP260" s="821"/>
      <c r="CJQ260" s="821"/>
      <c r="CJR260" s="821"/>
      <c r="CJS260" s="821"/>
      <c r="CJT260" s="821"/>
      <c r="CJU260" s="821"/>
      <c r="CJV260" s="821"/>
      <c r="CJW260" s="821"/>
      <c r="CJX260" s="821"/>
      <c r="CJY260" s="821"/>
      <c r="CJZ260" s="821"/>
      <c r="CKA260" s="821"/>
      <c r="CKB260" s="821"/>
      <c r="CKC260" s="821"/>
      <c r="CKD260" s="821"/>
      <c r="CKE260" s="575"/>
      <c r="CKF260" s="821"/>
      <c r="CKG260" s="821"/>
      <c r="CKH260" s="821"/>
      <c r="CKI260" s="821"/>
      <c r="CKJ260" s="821"/>
      <c r="CKK260" s="821"/>
      <c r="CKL260" s="821"/>
      <c r="CKM260" s="821"/>
      <c r="CKN260" s="821"/>
      <c r="CKO260" s="821"/>
      <c r="CKP260" s="821"/>
      <c r="CKQ260" s="821"/>
      <c r="CKR260" s="821"/>
      <c r="CKS260" s="821"/>
      <c r="CKT260" s="821"/>
      <c r="CKU260" s="821"/>
      <c r="CKV260" s="821"/>
      <c r="CKW260" s="821"/>
      <c r="CKX260" s="821"/>
      <c r="CKY260" s="575"/>
      <c r="CKZ260" s="821"/>
      <c r="CLA260" s="821"/>
      <c r="CLB260" s="821"/>
      <c r="CLC260" s="821"/>
      <c r="CLD260" s="821"/>
      <c r="CLE260" s="821"/>
      <c r="CLF260" s="821"/>
      <c r="CLG260" s="821"/>
      <c r="CLH260" s="821"/>
      <c r="CLI260" s="821"/>
      <c r="CLJ260" s="821"/>
      <c r="CLK260" s="821"/>
      <c r="CLL260" s="821"/>
      <c r="CLM260" s="821"/>
      <c r="CLN260" s="821"/>
      <c r="CLO260" s="821"/>
      <c r="CLP260" s="821"/>
      <c r="CLQ260" s="821"/>
      <c r="CLR260" s="821"/>
      <c r="CLS260" s="575"/>
      <c r="CLT260" s="821"/>
      <c r="CLU260" s="821"/>
      <c r="CLV260" s="821"/>
      <c r="CLW260" s="821"/>
      <c r="CLX260" s="821"/>
      <c r="CLY260" s="821"/>
      <c r="CLZ260" s="821"/>
      <c r="CMA260" s="821"/>
      <c r="CMB260" s="821"/>
      <c r="CMC260" s="821"/>
      <c r="CMD260" s="821"/>
      <c r="CME260" s="821"/>
      <c r="CMF260" s="821"/>
      <c r="CMG260" s="821"/>
      <c r="CMH260" s="821"/>
      <c r="CMI260" s="821"/>
      <c r="CMJ260" s="821"/>
      <c r="CMK260" s="821"/>
      <c r="CML260" s="821"/>
      <c r="CMM260" s="575"/>
      <c r="CMN260" s="821"/>
      <c r="CMO260" s="821"/>
      <c r="CMP260" s="821"/>
      <c r="CMQ260" s="821"/>
      <c r="CMR260" s="821"/>
      <c r="CMS260" s="821"/>
      <c r="CMT260" s="821"/>
      <c r="CMU260" s="821"/>
      <c r="CMV260" s="821"/>
      <c r="CMW260" s="821"/>
      <c r="CMX260" s="821"/>
      <c r="CMY260" s="821"/>
      <c r="CMZ260" s="821"/>
      <c r="CNA260" s="821"/>
      <c r="CNB260" s="821"/>
      <c r="CNC260" s="821"/>
      <c r="CND260" s="821"/>
      <c r="CNE260" s="821"/>
      <c r="CNF260" s="821"/>
      <c r="CNG260" s="575"/>
      <c r="CNH260" s="821"/>
      <c r="CNI260" s="821"/>
      <c r="CNJ260" s="821"/>
      <c r="CNK260" s="821"/>
      <c r="CNL260" s="821"/>
      <c r="CNM260" s="821"/>
      <c r="CNN260" s="821"/>
      <c r="CNO260" s="821"/>
      <c r="CNP260" s="821"/>
      <c r="CNQ260" s="821"/>
      <c r="CNR260" s="821"/>
      <c r="CNS260" s="821"/>
      <c r="CNT260" s="821"/>
      <c r="CNU260" s="821"/>
      <c r="CNV260" s="821"/>
      <c r="CNW260" s="821"/>
      <c r="CNX260" s="821"/>
      <c r="CNY260" s="821"/>
      <c r="CNZ260" s="821"/>
      <c r="COA260" s="575"/>
      <c r="COB260" s="821"/>
      <c r="COC260" s="821"/>
      <c r="COD260" s="821"/>
      <c r="COE260" s="821"/>
      <c r="COF260" s="821"/>
      <c r="COG260" s="821"/>
      <c r="COH260" s="821"/>
      <c r="COI260" s="821"/>
      <c r="COJ260" s="821"/>
      <c r="COK260" s="821"/>
      <c r="COL260" s="821"/>
      <c r="COM260" s="821"/>
      <c r="CON260" s="821"/>
      <c r="COO260" s="821"/>
      <c r="COP260" s="821"/>
      <c r="COQ260" s="821"/>
      <c r="COR260" s="821"/>
      <c r="COS260" s="821"/>
      <c r="COT260" s="821"/>
      <c r="COU260" s="575"/>
      <c r="COV260" s="821"/>
      <c r="COW260" s="821"/>
      <c r="COX260" s="821"/>
      <c r="COY260" s="821"/>
      <c r="COZ260" s="821"/>
      <c r="CPA260" s="821"/>
      <c r="CPB260" s="821"/>
      <c r="CPC260" s="821"/>
      <c r="CPD260" s="821"/>
      <c r="CPE260" s="821"/>
      <c r="CPF260" s="821"/>
      <c r="CPG260" s="821"/>
      <c r="CPH260" s="821"/>
      <c r="CPI260" s="821"/>
      <c r="CPJ260" s="821"/>
      <c r="CPK260" s="821"/>
      <c r="CPL260" s="821"/>
      <c r="CPM260" s="821"/>
      <c r="CPN260" s="821"/>
      <c r="CPO260" s="575"/>
      <c r="CPP260" s="821"/>
      <c r="CPQ260" s="821"/>
      <c r="CPR260" s="821"/>
      <c r="CPS260" s="821"/>
      <c r="CPT260" s="821"/>
      <c r="CPU260" s="821"/>
      <c r="CPV260" s="821"/>
      <c r="CPW260" s="821"/>
      <c r="CPX260" s="821"/>
      <c r="CPY260" s="821"/>
      <c r="CPZ260" s="821"/>
      <c r="CQA260" s="821"/>
      <c r="CQB260" s="821"/>
      <c r="CQC260" s="821"/>
      <c r="CQD260" s="821"/>
      <c r="CQE260" s="821"/>
      <c r="CQF260" s="821"/>
      <c r="CQG260" s="821"/>
      <c r="CQH260" s="821"/>
      <c r="CQI260" s="575"/>
      <c r="CQJ260" s="821"/>
      <c r="CQK260" s="821"/>
      <c r="CQL260" s="821"/>
      <c r="CQM260" s="821"/>
      <c r="CQN260" s="821"/>
      <c r="CQO260" s="821"/>
      <c r="CQP260" s="821"/>
      <c r="CQQ260" s="821"/>
      <c r="CQR260" s="821"/>
      <c r="CQS260" s="821"/>
      <c r="CQT260" s="821"/>
      <c r="CQU260" s="821"/>
      <c r="CQV260" s="821"/>
      <c r="CQW260" s="821"/>
      <c r="CQX260" s="821"/>
      <c r="CQY260" s="821"/>
      <c r="CQZ260" s="821"/>
      <c r="CRA260" s="821"/>
      <c r="CRB260" s="821"/>
      <c r="CRC260" s="575"/>
      <c r="CRD260" s="821"/>
      <c r="CRE260" s="821"/>
      <c r="CRF260" s="821"/>
      <c r="CRG260" s="821"/>
      <c r="CRH260" s="821"/>
      <c r="CRI260" s="821"/>
      <c r="CRJ260" s="821"/>
      <c r="CRK260" s="821"/>
      <c r="CRL260" s="821"/>
      <c r="CRM260" s="821"/>
      <c r="CRN260" s="821"/>
      <c r="CRO260" s="821"/>
      <c r="CRP260" s="821"/>
      <c r="CRQ260" s="821"/>
      <c r="CRR260" s="821"/>
      <c r="CRS260" s="821"/>
      <c r="CRT260" s="821"/>
      <c r="CRU260" s="821"/>
      <c r="CRV260" s="821"/>
      <c r="CRW260" s="575"/>
      <c r="CRX260" s="821"/>
      <c r="CRY260" s="821"/>
      <c r="CRZ260" s="821"/>
      <c r="CSA260" s="821"/>
      <c r="CSB260" s="821"/>
      <c r="CSC260" s="821"/>
      <c r="CSD260" s="821"/>
      <c r="CSE260" s="821"/>
      <c r="CSF260" s="821"/>
      <c r="CSG260" s="821"/>
      <c r="CSH260" s="821"/>
      <c r="CSI260" s="821"/>
      <c r="CSJ260" s="821"/>
      <c r="CSK260" s="821"/>
      <c r="CSL260" s="821"/>
      <c r="CSM260" s="821"/>
      <c r="CSN260" s="821"/>
      <c r="CSO260" s="821"/>
      <c r="CSP260" s="821"/>
      <c r="CSQ260" s="575"/>
      <c r="CSR260" s="821"/>
      <c r="CSS260" s="821"/>
      <c r="CST260" s="821"/>
      <c r="CSU260" s="821"/>
      <c r="CSV260" s="821"/>
      <c r="CSW260" s="821"/>
      <c r="CSX260" s="821"/>
      <c r="CSY260" s="821"/>
      <c r="CSZ260" s="821"/>
      <c r="CTA260" s="821"/>
      <c r="CTB260" s="821"/>
      <c r="CTC260" s="821"/>
      <c r="CTD260" s="821"/>
      <c r="CTE260" s="821"/>
      <c r="CTF260" s="821"/>
      <c r="CTG260" s="821"/>
      <c r="CTH260" s="821"/>
      <c r="CTI260" s="821"/>
      <c r="CTJ260" s="821"/>
      <c r="CTK260" s="575"/>
      <c r="CTL260" s="821"/>
      <c r="CTM260" s="821"/>
      <c r="CTN260" s="821"/>
      <c r="CTO260" s="821"/>
      <c r="CTP260" s="821"/>
      <c r="CTQ260" s="821"/>
      <c r="CTR260" s="821"/>
      <c r="CTS260" s="821"/>
      <c r="CTT260" s="821"/>
      <c r="CTU260" s="821"/>
      <c r="CTV260" s="821"/>
      <c r="CTW260" s="821"/>
      <c r="CTX260" s="821"/>
      <c r="CTY260" s="821"/>
      <c r="CTZ260" s="821"/>
      <c r="CUA260" s="821"/>
      <c r="CUB260" s="821"/>
      <c r="CUC260" s="821"/>
      <c r="CUD260" s="821"/>
      <c r="CUE260" s="575"/>
      <c r="CUF260" s="821"/>
      <c r="CUG260" s="821"/>
      <c r="CUH260" s="821"/>
      <c r="CUI260" s="821"/>
      <c r="CUJ260" s="821"/>
      <c r="CUK260" s="821"/>
      <c r="CUL260" s="821"/>
      <c r="CUM260" s="821"/>
      <c r="CUN260" s="821"/>
      <c r="CUO260" s="821"/>
      <c r="CUP260" s="821"/>
      <c r="CUQ260" s="821"/>
      <c r="CUR260" s="821"/>
      <c r="CUS260" s="821"/>
      <c r="CUT260" s="821"/>
      <c r="CUU260" s="821"/>
      <c r="CUV260" s="821"/>
      <c r="CUW260" s="821"/>
      <c r="CUX260" s="821"/>
      <c r="CUY260" s="575"/>
      <c r="CUZ260" s="821"/>
      <c r="CVA260" s="821"/>
      <c r="CVB260" s="821"/>
      <c r="CVC260" s="821"/>
      <c r="CVD260" s="821"/>
      <c r="CVE260" s="821"/>
      <c r="CVF260" s="821"/>
      <c r="CVG260" s="821"/>
      <c r="CVH260" s="821"/>
      <c r="CVI260" s="821"/>
      <c r="CVJ260" s="821"/>
      <c r="CVK260" s="821"/>
      <c r="CVL260" s="821"/>
      <c r="CVM260" s="821"/>
      <c r="CVN260" s="821"/>
      <c r="CVO260" s="821"/>
      <c r="CVP260" s="821"/>
      <c r="CVQ260" s="821"/>
      <c r="CVR260" s="821"/>
      <c r="CVS260" s="575"/>
      <c r="CVT260" s="821"/>
      <c r="CVU260" s="821"/>
      <c r="CVV260" s="821"/>
      <c r="CVW260" s="821"/>
      <c r="CVX260" s="821"/>
      <c r="CVY260" s="821"/>
      <c r="CVZ260" s="821"/>
      <c r="CWA260" s="821"/>
      <c r="CWB260" s="821"/>
      <c r="CWC260" s="821"/>
      <c r="CWD260" s="821"/>
      <c r="CWE260" s="821"/>
      <c r="CWF260" s="821"/>
      <c r="CWG260" s="821"/>
      <c r="CWH260" s="821"/>
      <c r="CWI260" s="821"/>
      <c r="CWJ260" s="821"/>
      <c r="CWK260" s="821"/>
      <c r="CWL260" s="821"/>
      <c r="CWM260" s="575"/>
      <c r="CWN260" s="821"/>
      <c r="CWO260" s="821"/>
      <c r="CWP260" s="821"/>
      <c r="CWQ260" s="821"/>
      <c r="CWR260" s="821"/>
      <c r="CWS260" s="821"/>
      <c r="CWT260" s="821"/>
      <c r="CWU260" s="821"/>
      <c r="CWV260" s="821"/>
      <c r="CWW260" s="821"/>
      <c r="CWX260" s="821"/>
      <c r="CWY260" s="821"/>
      <c r="CWZ260" s="821"/>
      <c r="CXA260" s="821"/>
      <c r="CXB260" s="821"/>
      <c r="CXC260" s="821"/>
      <c r="CXD260" s="821"/>
      <c r="CXE260" s="821"/>
      <c r="CXF260" s="821"/>
      <c r="CXG260" s="575"/>
      <c r="CXH260" s="821"/>
      <c r="CXI260" s="821"/>
      <c r="CXJ260" s="821"/>
      <c r="CXK260" s="821"/>
      <c r="CXL260" s="821"/>
      <c r="CXM260" s="821"/>
      <c r="CXN260" s="821"/>
      <c r="CXO260" s="821"/>
      <c r="CXP260" s="821"/>
      <c r="CXQ260" s="821"/>
      <c r="CXR260" s="821"/>
      <c r="CXS260" s="821"/>
      <c r="CXT260" s="821"/>
      <c r="CXU260" s="821"/>
      <c r="CXV260" s="821"/>
      <c r="CXW260" s="821"/>
      <c r="CXX260" s="821"/>
      <c r="CXY260" s="821"/>
      <c r="CXZ260" s="821"/>
      <c r="CYA260" s="575"/>
      <c r="CYB260" s="821"/>
      <c r="CYC260" s="821"/>
      <c r="CYD260" s="821"/>
      <c r="CYE260" s="821"/>
      <c r="CYF260" s="821"/>
      <c r="CYG260" s="821"/>
      <c r="CYH260" s="821"/>
      <c r="CYI260" s="821"/>
      <c r="CYJ260" s="821"/>
      <c r="CYK260" s="821"/>
      <c r="CYL260" s="821"/>
      <c r="CYM260" s="821"/>
      <c r="CYN260" s="821"/>
      <c r="CYO260" s="821"/>
      <c r="CYP260" s="821"/>
      <c r="CYQ260" s="821"/>
      <c r="CYR260" s="821"/>
      <c r="CYS260" s="821"/>
      <c r="CYT260" s="821"/>
      <c r="CYU260" s="575"/>
      <c r="CYV260" s="821"/>
      <c r="CYW260" s="821"/>
      <c r="CYX260" s="821"/>
      <c r="CYY260" s="821"/>
      <c r="CYZ260" s="821"/>
      <c r="CZA260" s="821"/>
      <c r="CZB260" s="821"/>
      <c r="CZC260" s="821"/>
      <c r="CZD260" s="821"/>
      <c r="CZE260" s="821"/>
      <c r="CZF260" s="821"/>
      <c r="CZG260" s="821"/>
      <c r="CZH260" s="821"/>
      <c r="CZI260" s="821"/>
      <c r="CZJ260" s="821"/>
      <c r="CZK260" s="821"/>
      <c r="CZL260" s="821"/>
      <c r="CZM260" s="821"/>
      <c r="CZN260" s="821"/>
      <c r="CZO260" s="575"/>
      <c r="CZP260" s="821"/>
      <c r="CZQ260" s="821"/>
      <c r="CZR260" s="821"/>
      <c r="CZS260" s="821"/>
      <c r="CZT260" s="821"/>
      <c r="CZU260" s="821"/>
      <c r="CZV260" s="821"/>
      <c r="CZW260" s="821"/>
      <c r="CZX260" s="821"/>
      <c r="CZY260" s="821"/>
      <c r="CZZ260" s="821"/>
      <c r="DAA260" s="821"/>
      <c r="DAB260" s="821"/>
      <c r="DAC260" s="821"/>
      <c r="DAD260" s="821"/>
      <c r="DAE260" s="821"/>
      <c r="DAF260" s="821"/>
      <c r="DAG260" s="821"/>
      <c r="DAH260" s="821"/>
      <c r="DAI260" s="575"/>
      <c r="DAJ260" s="821"/>
      <c r="DAK260" s="821"/>
      <c r="DAL260" s="821"/>
      <c r="DAM260" s="821"/>
      <c r="DAN260" s="821"/>
      <c r="DAO260" s="821"/>
      <c r="DAP260" s="821"/>
      <c r="DAQ260" s="821"/>
      <c r="DAR260" s="821"/>
      <c r="DAS260" s="821"/>
      <c r="DAT260" s="821"/>
      <c r="DAU260" s="821"/>
      <c r="DAV260" s="821"/>
      <c r="DAW260" s="821"/>
      <c r="DAX260" s="821"/>
      <c r="DAY260" s="821"/>
      <c r="DAZ260" s="821"/>
      <c r="DBA260" s="821"/>
      <c r="DBB260" s="821"/>
      <c r="DBC260" s="575"/>
      <c r="DBD260" s="821"/>
      <c r="DBE260" s="821"/>
      <c r="DBF260" s="821"/>
      <c r="DBG260" s="821"/>
      <c r="DBH260" s="821"/>
      <c r="DBI260" s="821"/>
      <c r="DBJ260" s="821"/>
      <c r="DBK260" s="821"/>
      <c r="DBL260" s="821"/>
      <c r="DBM260" s="821"/>
      <c r="DBN260" s="821"/>
      <c r="DBO260" s="821"/>
      <c r="DBP260" s="821"/>
      <c r="DBQ260" s="821"/>
      <c r="DBR260" s="821"/>
      <c r="DBS260" s="821"/>
      <c r="DBT260" s="821"/>
      <c r="DBU260" s="821"/>
      <c r="DBV260" s="821"/>
      <c r="DBW260" s="575"/>
      <c r="DBX260" s="821"/>
      <c r="DBY260" s="821"/>
      <c r="DBZ260" s="821"/>
      <c r="DCA260" s="821"/>
      <c r="DCB260" s="821"/>
      <c r="DCC260" s="821"/>
      <c r="DCD260" s="821"/>
      <c r="DCE260" s="821"/>
      <c r="DCF260" s="821"/>
      <c r="DCG260" s="821"/>
      <c r="DCH260" s="821"/>
      <c r="DCI260" s="821"/>
      <c r="DCJ260" s="821"/>
      <c r="DCK260" s="821"/>
      <c r="DCL260" s="821"/>
      <c r="DCM260" s="821"/>
      <c r="DCN260" s="821"/>
      <c r="DCO260" s="821"/>
      <c r="DCP260" s="821"/>
      <c r="DCQ260" s="575"/>
      <c r="DCR260" s="821"/>
      <c r="DCS260" s="821"/>
      <c r="DCT260" s="821"/>
      <c r="DCU260" s="821"/>
      <c r="DCV260" s="821"/>
      <c r="DCW260" s="821"/>
      <c r="DCX260" s="821"/>
      <c r="DCY260" s="821"/>
      <c r="DCZ260" s="821"/>
      <c r="DDA260" s="821"/>
      <c r="DDB260" s="821"/>
      <c r="DDC260" s="821"/>
      <c r="DDD260" s="821"/>
      <c r="DDE260" s="821"/>
      <c r="DDF260" s="821"/>
      <c r="DDG260" s="821"/>
      <c r="DDH260" s="821"/>
      <c r="DDI260" s="821"/>
      <c r="DDJ260" s="821"/>
      <c r="DDK260" s="575"/>
      <c r="DDL260" s="821"/>
      <c r="DDM260" s="821"/>
      <c r="DDN260" s="821"/>
      <c r="DDO260" s="821"/>
      <c r="DDP260" s="821"/>
      <c r="DDQ260" s="821"/>
      <c r="DDR260" s="821"/>
      <c r="DDS260" s="821"/>
      <c r="DDT260" s="821"/>
      <c r="DDU260" s="821"/>
      <c r="DDV260" s="821"/>
      <c r="DDW260" s="821"/>
      <c r="DDX260" s="821"/>
      <c r="DDY260" s="821"/>
      <c r="DDZ260" s="821"/>
      <c r="DEA260" s="821"/>
      <c r="DEB260" s="821"/>
      <c r="DEC260" s="821"/>
      <c r="DED260" s="821"/>
      <c r="DEE260" s="575"/>
      <c r="DEF260" s="821"/>
      <c r="DEG260" s="821"/>
      <c r="DEH260" s="821"/>
      <c r="DEI260" s="821"/>
      <c r="DEJ260" s="821"/>
      <c r="DEK260" s="821"/>
      <c r="DEL260" s="821"/>
      <c r="DEM260" s="821"/>
      <c r="DEN260" s="821"/>
      <c r="DEO260" s="821"/>
      <c r="DEP260" s="821"/>
      <c r="DEQ260" s="821"/>
      <c r="DER260" s="821"/>
      <c r="DES260" s="821"/>
      <c r="DET260" s="821"/>
      <c r="DEU260" s="821"/>
      <c r="DEV260" s="821"/>
      <c r="DEW260" s="821"/>
      <c r="DEX260" s="821"/>
      <c r="DEY260" s="575"/>
      <c r="DEZ260" s="821"/>
      <c r="DFA260" s="821"/>
      <c r="DFB260" s="821"/>
      <c r="DFC260" s="821"/>
      <c r="DFD260" s="821"/>
      <c r="DFE260" s="821"/>
      <c r="DFF260" s="821"/>
      <c r="DFG260" s="821"/>
      <c r="DFH260" s="821"/>
      <c r="DFI260" s="821"/>
      <c r="DFJ260" s="821"/>
      <c r="DFK260" s="821"/>
      <c r="DFL260" s="821"/>
      <c r="DFM260" s="821"/>
      <c r="DFN260" s="821"/>
      <c r="DFO260" s="821"/>
      <c r="DFP260" s="821"/>
      <c r="DFQ260" s="821"/>
      <c r="DFR260" s="821"/>
      <c r="DFS260" s="575"/>
      <c r="DFT260" s="821"/>
      <c r="DFU260" s="821"/>
      <c r="DFV260" s="821"/>
      <c r="DFW260" s="821"/>
      <c r="DFX260" s="821"/>
      <c r="DFY260" s="821"/>
      <c r="DFZ260" s="821"/>
      <c r="DGA260" s="821"/>
      <c r="DGB260" s="821"/>
      <c r="DGC260" s="821"/>
      <c r="DGD260" s="821"/>
      <c r="DGE260" s="821"/>
      <c r="DGF260" s="821"/>
      <c r="DGG260" s="821"/>
      <c r="DGH260" s="821"/>
      <c r="DGI260" s="821"/>
      <c r="DGJ260" s="821"/>
      <c r="DGK260" s="821"/>
      <c r="DGL260" s="821"/>
      <c r="DGM260" s="575"/>
      <c r="DGN260" s="821"/>
      <c r="DGO260" s="821"/>
      <c r="DGP260" s="821"/>
      <c r="DGQ260" s="821"/>
      <c r="DGR260" s="821"/>
      <c r="DGS260" s="821"/>
      <c r="DGT260" s="821"/>
      <c r="DGU260" s="821"/>
      <c r="DGV260" s="821"/>
      <c r="DGW260" s="821"/>
      <c r="DGX260" s="821"/>
      <c r="DGY260" s="821"/>
      <c r="DGZ260" s="821"/>
      <c r="DHA260" s="821"/>
      <c r="DHB260" s="821"/>
      <c r="DHC260" s="821"/>
      <c r="DHD260" s="821"/>
      <c r="DHE260" s="821"/>
      <c r="DHF260" s="821"/>
      <c r="DHG260" s="575"/>
      <c r="DHH260" s="821"/>
      <c r="DHI260" s="821"/>
      <c r="DHJ260" s="821"/>
      <c r="DHK260" s="821"/>
      <c r="DHL260" s="821"/>
      <c r="DHM260" s="821"/>
      <c r="DHN260" s="821"/>
      <c r="DHO260" s="821"/>
      <c r="DHP260" s="821"/>
      <c r="DHQ260" s="821"/>
      <c r="DHR260" s="821"/>
      <c r="DHS260" s="821"/>
      <c r="DHT260" s="821"/>
      <c r="DHU260" s="821"/>
      <c r="DHV260" s="821"/>
      <c r="DHW260" s="821"/>
      <c r="DHX260" s="821"/>
      <c r="DHY260" s="821"/>
      <c r="DHZ260" s="821"/>
      <c r="DIA260" s="575"/>
      <c r="DIB260" s="821"/>
      <c r="DIC260" s="821"/>
      <c r="DID260" s="821"/>
      <c r="DIE260" s="821"/>
      <c r="DIF260" s="821"/>
      <c r="DIG260" s="821"/>
      <c r="DIH260" s="821"/>
      <c r="DII260" s="821"/>
      <c r="DIJ260" s="821"/>
      <c r="DIK260" s="821"/>
      <c r="DIL260" s="821"/>
      <c r="DIM260" s="821"/>
      <c r="DIN260" s="821"/>
      <c r="DIO260" s="821"/>
      <c r="DIP260" s="821"/>
      <c r="DIQ260" s="821"/>
      <c r="DIR260" s="821"/>
      <c r="DIS260" s="821"/>
      <c r="DIT260" s="821"/>
      <c r="DIU260" s="575"/>
      <c r="DIV260" s="821"/>
      <c r="DIW260" s="821"/>
      <c r="DIX260" s="821"/>
      <c r="DIY260" s="821"/>
      <c r="DIZ260" s="821"/>
      <c r="DJA260" s="821"/>
      <c r="DJB260" s="821"/>
      <c r="DJC260" s="821"/>
      <c r="DJD260" s="821"/>
      <c r="DJE260" s="821"/>
      <c r="DJF260" s="821"/>
      <c r="DJG260" s="821"/>
      <c r="DJH260" s="821"/>
      <c r="DJI260" s="821"/>
      <c r="DJJ260" s="821"/>
      <c r="DJK260" s="821"/>
      <c r="DJL260" s="821"/>
      <c r="DJM260" s="821"/>
      <c r="DJN260" s="821"/>
      <c r="DJO260" s="575"/>
      <c r="DJP260" s="821"/>
      <c r="DJQ260" s="821"/>
      <c r="DJR260" s="821"/>
      <c r="DJS260" s="821"/>
      <c r="DJT260" s="821"/>
      <c r="DJU260" s="821"/>
      <c r="DJV260" s="821"/>
      <c r="DJW260" s="821"/>
      <c r="DJX260" s="821"/>
      <c r="DJY260" s="821"/>
      <c r="DJZ260" s="821"/>
      <c r="DKA260" s="821"/>
      <c r="DKB260" s="821"/>
      <c r="DKC260" s="821"/>
      <c r="DKD260" s="821"/>
      <c r="DKE260" s="821"/>
      <c r="DKF260" s="821"/>
      <c r="DKG260" s="821"/>
      <c r="DKH260" s="821"/>
      <c r="DKI260" s="575"/>
      <c r="DKJ260" s="821"/>
      <c r="DKK260" s="821"/>
      <c r="DKL260" s="821"/>
      <c r="DKM260" s="821"/>
      <c r="DKN260" s="821"/>
      <c r="DKO260" s="821"/>
      <c r="DKP260" s="821"/>
      <c r="DKQ260" s="821"/>
      <c r="DKR260" s="821"/>
      <c r="DKS260" s="821"/>
      <c r="DKT260" s="821"/>
      <c r="DKU260" s="821"/>
      <c r="DKV260" s="821"/>
      <c r="DKW260" s="821"/>
      <c r="DKX260" s="821"/>
      <c r="DKY260" s="821"/>
      <c r="DKZ260" s="821"/>
      <c r="DLA260" s="821"/>
      <c r="DLB260" s="821"/>
      <c r="DLC260" s="575"/>
      <c r="DLD260" s="821"/>
      <c r="DLE260" s="821"/>
      <c r="DLF260" s="821"/>
      <c r="DLG260" s="821"/>
      <c r="DLH260" s="821"/>
      <c r="DLI260" s="821"/>
      <c r="DLJ260" s="821"/>
      <c r="DLK260" s="821"/>
      <c r="DLL260" s="821"/>
      <c r="DLM260" s="821"/>
      <c r="DLN260" s="821"/>
      <c r="DLO260" s="821"/>
      <c r="DLP260" s="821"/>
      <c r="DLQ260" s="821"/>
      <c r="DLR260" s="821"/>
      <c r="DLS260" s="821"/>
      <c r="DLT260" s="821"/>
      <c r="DLU260" s="821"/>
      <c r="DLV260" s="821"/>
      <c r="DLW260" s="575"/>
      <c r="DLX260" s="821"/>
      <c r="DLY260" s="821"/>
      <c r="DLZ260" s="821"/>
      <c r="DMA260" s="821"/>
      <c r="DMB260" s="821"/>
      <c r="DMC260" s="821"/>
      <c r="DMD260" s="821"/>
      <c r="DME260" s="821"/>
      <c r="DMF260" s="821"/>
      <c r="DMG260" s="821"/>
      <c r="DMH260" s="821"/>
      <c r="DMI260" s="821"/>
      <c r="DMJ260" s="821"/>
      <c r="DMK260" s="821"/>
      <c r="DML260" s="821"/>
      <c r="DMM260" s="821"/>
      <c r="DMN260" s="821"/>
      <c r="DMO260" s="821"/>
      <c r="DMP260" s="821"/>
      <c r="DMQ260" s="575"/>
      <c r="DMR260" s="821"/>
      <c r="DMS260" s="821"/>
      <c r="DMT260" s="821"/>
      <c r="DMU260" s="821"/>
      <c r="DMV260" s="821"/>
      <c r="DMW260" s="821"/>
      <c r="DMX260" s="821"/>
      <c r="DMY260" s="821"/>
      <c r="DMZ260" s="821"/>
      <c r="DNA260" s="821"/>
      <c r="DNB260" s="821"/>
      <c r="DNC260" s="821"/>
      <c r="DND260" s="821"/>
      <c r="DNE260" s="821"/>
      <c r="DNF260" s="821"/>
      <c r="DNG260" s="821"/>
      <c r="DNH260" s="821"/>
      <c r="DNI260" s="821"/>
      <c r="DNJ260" s="821"/>
      <c r="DNK260" s="575"/>
      <c r="DNL260" s="821"/>
      <c r="DNM260" s="821"/>
      <c r="DNN260" s="821"/>
      <c r="DNO260" s="821"/>
      <c r="DNP260" s="821"/>
      <c r="DNQ260" s="821"/>
      <c r="DNR260" s="821"/>
      <c r="DNS260" s="821"/>
      <c r="DNT260" s="821"/>
      <c r="DNU260" s="821"/>
      <c r="DNV260" s="821"/>
      <c r="DNW260" s="821"/>
      <c r="DNX260" s="821"/>
      <c r="DNY260" s="821"/>
      <c r="DNZ260" s="821"/>
      <c r="DOA260" s="821"/>
      <c r="DOB260" s="821"/>
      <c r="DOC260" s="821"/>
      <c r="DOD260" s="821"/>
      <c r="DOE260" s="575"/>
      <c r="DOF260" s="821"/>
      <c r="DOG260" s="821"/>
      <c r="DOH260" s="821"/>
      <c r="DOI260" s="821"/>
      <c r="DOJ260" s="821"/>
      <c r="DOK260" s="821"/>
      <c r="DOL260" s="821"/>
      <c r="DOM260" s="821"/>
      <c r="DON260" s="821"/>
      <c r="DOO260" s="821"/>
      <c r="DOP260" s="821"/>
      <c r="DOQ260" s="821"/>
      <c r="DOR260" s="821"/>
      <c r="DOS260" s="821"/>
      <c r="DOT260" s="821"/>
      <c r="DOU260" s="821"/>
      <c r="DOV260" s="821"/>
      <c r="DOW260" s="821"/>
      <c r="DOX260" s="821"/>
      <c r="DOY260" s="575"/>
      <c r="DOZ260" s="821"/>
      <c r="DPA260" s="821"/>
      <c r="DPB260" s="821"/>
      <c r="DPC260" s="821"/>
      <c r="DPD260" s="821"/>
      <c r="DPE260" s="821"/>
      <c r="DPF260" s="821"/>
      <c r="DPG260" s="821"/>
      <c r="DPH260" s="821"/>
      <c r="DPI260" s="821"/>
      <c r="DPJ260" s="821"/>
      <c r="DPK260" s="821"/>
      <c r="DPL260" s="821"/>
      <c r="DPM260" s="821"/>
      <c r="DPN260" s="821"/>
      <c r="DPO260" s="821"/>
      <c r="DPP260" s="821"/>
      <c r="DPQ260" s="821"/>
      <c r="DPR260" s="821"/>
      <c r="DPS260" s="575"/>
      <c r="DPT260" s="821"/>
      <c r="DPU260" s="821"/>
      <c r="DPV260" s="821"/>
      <c r="DPW260" s="821"/>
      <c r="DPX260" s="821"/>
      <c r="DPY260" s="821"/>
      <c r="DPZ260" s="821"/>
      <c r="DQA260" s="821"/>
      <c r="DQB260" s="821"/>
      <c r="DQC260" s="821"/>
      <c r="DQD260" s="821"/>
      <c r="DQE260" s="821"/>
      <c r="DQF260" s="821"/>
      <c r="DQG260" s="821"/>
      <c r="DQH260" s="821"/>
      <c r="DQI260" s="821"/>
      <c r="DQJ260" s="821"/>
      <c r="DQK260" s="821"/>
      <c r="DQL260" s="821"/>
      <c r="DQM260" s="575"/>
      <c r="DQN260" s="821"/>
      <c r="DQO260" s="821"/>
      <c r="DQP260" s="821"/>
      <c r="DQQ260" s="821"/>
      <c r="DQR260" s="821"/>
      <c r="DQS260" s="821"/>
      <c r="DQT260" s="821"/>
      <c r="DQU260" s="821"/>
      <c r="DQV260" s="821"/>
      <c r="DQW260" s="821"/>
      <c r="DQX260" s="821"/>
      <c r="DQY260" s="821"/>
      <c r="DQZ260" s="821"/>
      <c r="DRA260" s="821"/>
      <c r="DRB260" s="821"/>
      <c r="DRC260" s="821"/>
      <c r="DRD260" s="821"/>
      <c r="DRE260" s="821"/>
      <c r="DRF260" s="821"/>
      <c r="DRG260" s="575"/>
      <c r="DRH260" s="821"/>
      <c r="DRI260" s="821"/>
      <c r="DRJ260" s="821"/>
      <c r="DRK260" s="821"/>
      <c r="DRL260" s="821"/>
      <c r="DRM260" s="821"/>
      <c r="DRN260" s="821"/>
      <c r="DRO260" s="821"/>
      <c r="DRP260" s="821"/>
      <c r="DRQ260" s="821"/>
      <c r="DRR260" s="821"/>
      <c r="DRS260" s="821"/>
      <c r="DRT260" s="821"/>
      <c r="DRU260" s="821"/>
      <c r="DRV260" s="821"/>
      <c r="DRW260" s="821"/>
      <c r="DRX260" s="821"/>
      <c r="DRY260" s="821"/>
      <c r="DRZ260" s="821"/>
      <c r="DSA260" s="575"/>
      <c r="DSB260" s="821"/>
      <c r="DSC260" s="821"/>
      <c r="DSD260" s="821"/>
      <c r="DSE260" s="821"/>
      <c r="DSF260" s="821"/>
      <c r="DSG260" s="821"/>
      <c r="DSH260" s="821"/>
      <c r="DSI260" s="821"/>
      <c r="DSJ260" s="821"/>
      <c r="DSK260" s="821"/>
      <c r="DSL260" s="821"/>
      <c r="DSM260" s="821"/>
      <c r="DSN260" s="821"/>
      <c r="DSO260" s="821"/>
      <c r="DSP260" s="821"/>
      <c r="DSQ260" s="821"/>
      <c r="DSR260" s="821"/>
      <c r="DSS260" s="821"/>
      <c r="DST260" s="821"/>
      <c r="DSU260" s="575"/>
      <c r="DSV260" s="821"/>
      <c r="DSW260" s="821"/>
      <c r="DSX260" s="821"/>
      <c r="DSY260" s="821"/>
      <c r="DSZ260" s="821"/>
      <c r="DTA260" s="821"/>
      <c r="DTB260" s="821"/>
      <c r="DTC260" s="821"/>
      <c r="DTD260" s="821"/>
      <c r="DTE260" s="821"/>
      <c r="DTF260" s="821"/>
      <c r="DTG260" s="821"/>
      <c r="DTH260" s="821"/>
      <c r="DTI260" s="821"/>
      <c r="DTJ260" s="821"/>
      <c r="DTK260" s="821"/>
      <c r="DTL260" s="821"/>
      <c r="DTM260" s="821"/>
      <c r="DTN260" s="821"/>
      <c r="DTO260" s="575"/>
      <c r="DTP260" s="821"/>
      <c r="DTQ260" s="821"/>
      <c r="DTR260" s="821"/>
      <c r="DTS260" s="821"/>
      <c r="DTT260" s="821"/>
      <c r="DTU260" s="821"/>
      <c r="DTV260" s="821"/>
      <c r="DTW260" s="821"/>
      <c r="DTX260" s="821"/>
      <c r="DTY260" s="821"/>
      <c r="DTZ260" s="821"/>
      <c r="DUA260" s="821"/>
      <c r="DUB260" s="821"/>
      <c r="DUC260" s="821"/>
      <c r="DUD260" s="821"/>
      <c r="DUE260" s="821"/>
      <c r="DUF260" s="821"/>
      <c r="DUG260" s="821"/>
      <c r="DUH260" s="821"/>
      <c r="DUI260" s="575"/>
      <c r="DUJ260" s="821"/>
      <c r="DUK260" s="821"/>
      <c r="DUL260" s="821"/>
      <c r="DUM260" s="821"/>
      <c r="DUN260" s="821"/>
      <c r="DUO260" s="821"/>
      <c r="DUP260" s="821"/>
      <c r="DUQ260" s="821"/>
      <c r="DUR260" s="821"/>
      <c r="DUS260" s="821"/>
      <c r="DUT260" s="821"/>
      <c r="DUU260" s="821"/>
      <c r="DUV260" s="821"/>
      <c r="DUW260" s="821"/>
      <c r="DUX260" s="821"/>
      <c r="DUY260" s="821"/>
      <c r="DUZ260" s="821"/>
      <c r="DVA260" s="821"/>
      <c r="DVB260" s="821"/>
      <c r="DVC260" s="575"/>
      <c r="DVD260" s="821"/>
      <c r="DVE260" s="821"/>
      <c r="DVF260" s="821"/>
      <c r="DVG260" s="821"/>
      <c r="DVH260" s="821"/>
      <c r="DVI260" s="821"/>
      <c r="DVJ260" s="821"/>
      <c r="DVK260" s="821"/>
      <c r="DVL260" s="821"/>
      <c r="DVM260" s="821"/>
      <c r="DVN260" s="821"/>
      <c r="DVO260" s="821"/>
      <c r="DVP260" s="821"/>
      <c r="DVQ260" s="821"/>
      <c r="DVR260" s="821"/>
      <c r="DVS260" s="821"/>
      <c r="DVT260" s="821"/>
      <c r="DVU260" s="821"/>
      <c r="DVV260" s="821"/>
      <c r="DVW260" s="575"/>
      <c r="DVX260" s="821"/>
      <c r="DVY260" s="821"/>
      <c r="DVZ260" s="821"/>
      <c r="DWA260" s="821"/>
      <c r="DWB260" s="821"/>
      <c r="DWC260" s="821"/>
      <c r="DWD260" s="821"/>
      <c r="DWE260" s="821"/>
      <c r="DWF260" s="821"/>
      <c r="DWG260" s="821"/>
      <c r="DWH260" s="821"/>
      <c r="DWI260" s="821"/>
      <c r="DWJ260" s="821"/>
      <c r="DWK260" s="821"/>
      <c r="DWL260" s="821"/>
      <c r="DWM260" s="821"/>
      <c r="DWN260" s="821"/>
      <c r="DWO260" s="821"/>
      <c r="DWP260" s="821"/>
      <c r="DWQ260" s="575"/>
      <c r="DWR260" s="821"/>
      <c r="DWS260" s="821"/>
      <c r="DWT260" s="821"/>
      <c r="DWU260" s="821"/>
      <c r="DWV260" s="821"/>
      <c r="DWW260" s="821"/>
      <c r="DWX260" s="821"/>
      <c r="DWY260" s="821"/>
      <c r="DWZ260" s="821"/>
      <c r="DXA260" s="821"/>
      <c r="DXB260" s="821"/>
      <c r="DXC260" s="821"/>
      <c r="DXD260" s="821"/>
      <c r="DXE260" s="821"/>
      <c r="DXF260" s="821"/>
      <c r="DXG260" s="821"/>
      <c r="DXH260" s="821"/>
      <c r="DXI260" s="821"/>
      <c r="DXJ260" s="821"/>
      <c r="DXK260" s="575"/>
      <c r="DXL260" s="821"/>
      <c r="DXM260" s="821"/>
      <c r="DXN260" s="821"/>
      <c r="DXO260" s="821"/>
      <c r="DXP260" s="821"/>
      <c r="DXQ260" s="821"/>
      <c r="DXR260" s="821"/>
      <c r="DXS260" s="821"/>
      <c r="DXT260" s="821"/>
      <c r="DXU260" s="821"/>
      <c r="DXV260" s="821"/>
      <c r="DXW260" s="821"/>
      <c r="DXX260" s="821"/>
      <c r="DXY260" s="821"/>
      <c r="DXZ260" s="821"/>
      <c r="DYA260" s="821"/>
      <c r="DYB260" s="821"/>
      <c r="DYC260" s="821"/>
      <c r="DYD260" s="821"/>
      <c r="DYE260" s="575"/>
      <c r="DYF260" s="821"/>
      <c r="DYG260" s="821"/>
      <c r="DYH260" s="821"/>
      <c r="DYI260" s="821"/>
      <c r="DYJ260" s="821"/>
      <c r="DYK260" s="821"/>
      <c r="DYL260" s="821"/>
      <c r="DYM260" s="821"/>
      <c r="DYN260" s="821"/>
      <c r="DYO260" s="821"/>
      <c r="DYP260" s="821"/>
      <c r="DYQ260" s="821"/>
      <c r="DYR260" s="821"/>
      <c r="DYS260" s="821"/>
      <c r="DYT260" s="821"/>
      <c r="DYU260" s="821"/>
      <c r="DYV260" s="821"/>
      <c r="DYW260" s="821"/>
      <c r="DYX260" s="821"/>
      <c r="DYY260" s="575"/>
      <c r="DYZ260" s="821"/>
      <c r="DZA260" s="821"/>
      <c r="DZB260" s="821"/>
      <c r="DZC260" s="821"/>
      <c r="DZD260" s="821"/>
      <c r="DZE260" s="821"/>
      <c r="DZF260" s="821"/>
      <c r="DZG260" s="821"/>
      <c r="DZH260" s="821"/>
      <c r="DZI260" s="821"/>
      <c r="DZJ260" s="821"/>
      <c r="DZK260" s="821"/>
      <c r="DZL260" s="821"/>
      <c r="DZM260" s="821"/>
      <c r="DZN260" s="821"/>
      <c r="DZO260" s="821"/>
      <c r="DZP260" s="821"/>
      <c r="DZQ260" s="821"/>
      <c r="DZR260" s="821"/>
      <c r="DZS260" s="575"/>
      <c r="DZT260" s="821"/>
      <c r="DZU260" s="821"/>
      <c r="DZV260" s="821"/>
      <c r="DZW260" s="821"/>
      <c r="DZX260" s="821"/>
      <c r="DZY260" s="821"/>
      <c r="DZZ260" s="821"/>
      <c r="EAA260" s="821"/>
      <c r="EAB260" s="821"/>
      <c r="EAC260" s="821"/>
      <c r="EAD260" s="821"/>
      <c r="EAE260" s="821"/>
      <c r="EAF260" s="821"/>
      <c r="EAG260" s="821"/>
      <c r="EAH260" s="821"/>
      <c r="EAI260" s="821"/>
      <c r="EAJ260" s="821"/>
      <c r="EAK260" s="821"/>
      <c r="EAL260" s="821"/>
      <c r="EAM260" s="575"/>
      <c r="EAN260" s="821"/>
      <c r="EAO260" s="821"/>
      <c r="EAP260" s="821"/>
      <c r="EAQ260" s="821"/>
      <c r="EAR260" s="821"/>
      <c r="EAS260" s="821"/>
      <c r="EAT260" s="821"/>
      <c r="EAU260" s="821"/>
      <c r="EAV260" s="821"/>
      <c r="EAW260" s="821"/>
      <c r="EAX260" s="821"/>
      <c r="EAY260" s="821"/>
      <c r="EAZ260" s="821"/>
      <c r="EBA260" s="821"/>
      <c r="EBB260" s="821"/>
      <c r="EBC260" s="821"/>
      <c r="EBD260" s="821"/>
      <c r="EBE260" s="821"/>
      <c r="EBF260" s="821"/>
      <c r="EBG260" s="575"/>
      <c r="EBH260" s="821"/>
      <c r="EBI260" s="821"/>
      <c r="EBJ260" s="821"/>
      <c r="EBK260" s="821"/>
      <c r="EBL260" s="821"/>
      <c r="EBM260" s="821"/>
      <c r="EBN260" s="821"/>
      <c r="EBO260" s="821"/>
      <c r="EBP260" s="821"/>
      <c r="EBQ260" s="821"/>
      <c r="EBR260" s="821"/>
      <c r="EBS260" s="821"/>
      <c r="EBT260" s="821"/>
      <c r="EBU260" s="821"/>
      <c r="EBV260" s="821"/>
      <c r="EBW260" s="821"/>
      <c r="EBX260" s="821"/>
      <c r="EBY260" s="821"/>
      <c r="EBZ260" s="821"/>
      <c r="ECA260" s="575"/>
      <c r="ECB260" s="821"/>
      <c r="ECC260" s="821"/>
      <c r="ECD260" s="821"/>
      <c r="ECE260" s="821"/>
      <c r="ECF260" s="821"/>
      <c r="ECG260" s="821"/>
      <c r="ECH260" s="821"/>
      <c r="ECI260" s="821"/>
      <c r="ECJ260" s="821"/>
      <c r="ECK260" s="821"/>
      <c r="ECL260" s="821"/>
      <c r="ECM260" s="821"/>
      <c r="ECN260" s="821"/>
      <c r="ECO260" s="821"/>
      <c r="ECP260" s="821"/>
      <c r="ECQ260" s="821"/>
      <c r="ECR260" s="821"/>
      <c r="ECS260" s="821"/>
      <c r="ECT260" s="821"/>
      <c r="ECU260" s="575"/>
      <c r="ECV260" s="821"/>
      <c r="ECW260" s="821"/>
      <c r="ECX260" s="821"/>
      <c r="ECY260" s="821"/>
      <c r="ECZ260" s="821"/>
      <c r="EDA260" s="821"/>
      <c r="EDB260" s="821"/>
      <c r="EDC260" s="821"/>
      <c r="EDD260" s="821"/>
      <c r="EDE260" s="821"/>
      <c r="EDF260" s="821"/>
      <c r="EDG260" s="821"/>
      <c r="EDH260" s="821"/>
      <c r="EDI260" s="821"/>
      <c r="EDJ260" s="821"/>
      <c r="EDK260" s="821"/>
      <c r="EDL260" s="821"/>
      <c r="EDM260" s="821"/>
      <c r="EDN260" s="821"/>
      <c r="EDO260" s="575"/>
      <c r="EDP260" s="821"/>
      <c r="EDQ260" s="821"/>
      <c r="EDR260" s="821"/>
      <c r="EDS260" s="821"/>
      <c r="EDT260" s="821"/>
      <c r="EDU260" s="821"/>
      <c r="EDV260" s="821"/>
      <c r="EDW260" s="821"/>
      <c r="EDX260" s="821"/>
      <c r="EDY260" s="821"/>
      <c r="EDZ260" s="821"/>
      <c r="EEA260" s="821"/>
      <c r="EEB260" s="821"/>
      <c r="EEC260" s="821"/>
      <c r="EED260" s="821"/>
      <c r="EEE260" s="821"/>
      <c r="EEF260" s="821"/>
      <c r="EEG260" s="821"/>
      <c r="EEH260" s="821"/>
      <c r="EEI260" s="575"/>
      <c r="EEJ260" s="821"/>
      <c r="EEK260" s="821"/>
      <c r="EEL260" s="821"/>
      <c r="EEM260" s="821"/>
      <c r="EEN260" s="821"/>
      <c r="EEO260" s="821"/>
      <c r="EEP260" s="821"/>
      <c r="EEQ260" s="821"/>
      <c r="EER260" s="821"/>
      <c r="EES260" s="821"/>
      <c r="EET260" s="821"/>
      <c r="EEU260" s="821"/>
      <c r="EEV260" s="821"/>
      <c r="EEW260" s="821"/>
      <c r="EEX260" s="821"/>
      <c r="EEY260" s="821"/>
      <c r="EEZ260" s="821"/>
      <c r="EFA260" s="821"/>
      <c r="EFB260" s="821"/>
      <c r="EFC260" s="575"/>
      <c r="EFD260" s="821"/>
      <c r="EFE260" s="821"/>
      <c r="EFF260" s="821"/>
      <c r="EFG260" s="821"/>
      <c r="EFH260" s="821"/>
      <c r="EFI260" s="821"/>
      <c r="EFJ260" s="821"/>
      <c r="EFK260" s="821"/>
      <c r="EFL260" s="821"/>
      <c r="EFM260" s="821"/>
      <c r="EFN260" s="821"/>
      <c r="EFO260" s="821"/>
      <c r="EFP260" s="821"/>
      <c r="EFQ260" s="821"/>
      <c r="EFR260" s="821"/>
      <c r="EFS260" s="821"/>
      <c r="EFT260" s="821"/>
      <c r="EFU260" s="821"/>
      <c r="EFV260" s="821"/>
      <c r="EFW260" s="575"/>
      <c r="EFX260" s="821"/>
      <c r="EFY260" s="821"/>
      <c r="EFZ260" s="821"/>
      <c r="EGA260" s="821"/>
      <c r="EGB260" s="821"/>
      <c r="EGC260" s="821"/>
      <c r="EGD260" s="821"/>
      <c r="EGE260" s="821"/>
      <c r="EGF260" s="821"/>
      <c r="EGG260" s="821"/>
      <c r="EGH260" s="821"/>
      <c r="EGI260" s="821"/>
      <c r="EGJ260" s="821"/>
      <c r="EGK260" s="821"/>
      <c r="EGL260" s="821"/>
      <c r="EGM260" s="821"/>
      <c r="EGN260" s="821"/>
      <c r="EGO260" s="821"/>
      <c r="EGP260" s="821"/>
      <c r="EGQ260" s="575"/>
      <c r="EGR260" s="821"/>
      <c r="EGS260" s="821"/>
      <c r="EGT260" s="821"/>
      <c r="EGU260" s="821"/>
      <c r="EGV260" s="821"/>
      <c r="EGW260" s="821"/>
      <c r="EGX260" s="821"/>
      <c r="EGY260" s="821"/>
      <c r="EGZ260" s="821"/>
      <c r="EHA260" s="821"/>
      <c r="EHB260" s="821"/>
      <c r="EHC260" s="821"/>
      <c r="EHD260" s="821"/>
      <c r="EHE260" s="821"/>
      <c r="EHF260" s="821"/>
      <c r="EHG260" s="821"/>
      <c r="EHH260" s="821"/>
      <c r="EHI260" s="821"/>
      <c r="EHJ260" s="821"/>
      <c r="EHK260" s="575"/>
      <c r="EHL260" s="821"/>
      <c r="EHM260" s="821"/>
      <c r="EHN260" s="821"/>
      <c r="EHO260" s="821"/>
      <c r="EHP260" s="821"/>
      <c r="EHQ260" s="821"/>
      <c r="EHR260" s="821"/>
      <c r="EHS260" s="821"/>
      <c r="EHT260" s="821"/>
      <c r="EHU260" s="821"/>
      <c r="EHV260" s="821"/>
      <c r="EHW260" s="821"/>
      <c r="EHX260" s="821"/>
      <c r="EHY260" s="821"/>
      <c r="EHZ260" s="821"/>
      <c r="EIA260" s="821"/>
      <c r="EIB260" s="821"/>
      <c r="EIC260" s="821"/>
      <c r="EID260" s="821"/>
      <c r="EIE260" s="575"/>
      <c r="EIF260" s="821"/>
      <c r="EIG260" s="821"/>
      <c r="EIH260" s="821"/>
      <c r="EII260" s="821"/>
      <c r="EIJ260" s="821"/>
      <c r="EIK260" s="821"/>
      <c r="EIL260" s="821"/>
      <c r="EIM260" s="821"/>
      <c r="EIN260" s="821"/>
      <c r="EIO260" s="821"/>
      <c r="EIP260" s="821"/>
      <c r="EIQ260" s="821"/>
      <c r="EIR260" s="821"/>
      <c r="EIS260" s="821"/>
      <c r="EIT260" s="821"/>
      <c r="EIU260" s="821"/>
      <c r="EIV260" s="821"/>
      <c r="EIW260" s="821"/>
      <c r="EIX260" s="821"/>
      <c r="EIY260" s="575"/>
      <c r="EIZ260" s="821"/>
      <c r="EJA260" s="821"/>
      <c r="EJB260" s="821"/>
      <c r="EJC260" s="821"/>
      <c r="EJD260" s="821"/>
      <c r="EJE260" s="821"/>
      <c r="EJF260" s="821"/>
      <c r="EJG260" s="821"/>
      <c r="EJH260" s="821"/>
      <c r="EJI260" s="821"/>
      <c r="EJJ260" s="821"/>
      <c r="EJK260" s="821"/>
      <c r="EJL260" s="821"/>
      <c r="EJM260" s="821"/>
      <c r="EJN260" s="821"/>
      <c r="EJO260" s="821"/>
      <c r="EJP260" s="821"/>
      <c r="EJQ260" s="821"/>
      <c r="EJR260" s="821"/>
      <c r="EJS260" s="575"/>
      <c r="EJT260" s="821"/>
      <c r="EJU260" s="821"/>
      <c r="EJV260" s="821"/>
      <c r="EJW260" s="821"/>
      <c r="EJX260" s="821"/>
      <c r="EJY260" s="821"/>
      <c r="EJZ260" s="821"/>
      <c r="EKA260" s="821"/>
      <c r="EKB260" s="821"/>
      <c r="EKC260" s="821"/>
      <c r="EKD260" s="821"/>
      <c r="EKE260" s="821"/>
      <c r="EKF260" s="821"/>
      <c r="EKG260" s="821"/>
      <c r="EKH260" s="821"/>
      <c r="EKI260" s="821"/>
      <c r="EKJ260" s="821"/>
      <c r="EKK260" s="821"/>
      <c r="EKL260" s="821"/>
      <c r="EKM260" s="575"/>
      <c r="EKN260" s="821"/>
      <c r="EKO260" s="821"/>
      <c r="EKP260" s="821"/>
      <c r="EKQ260" s="821"/>
      <c r="EKR260" s="821"/>
      <c r="EKS260" s="821"/>
      <c r="EKT260" s="821"/>
      <c r="EKU260" s="821"/>
      <c r="EKV260" s="821"/>
      <c r="EKW260" s="821"/>
      <c r="EKX260" s="821"/>
      <c r="EKY260" s="821"/>
      <c r="EKZ260" s="821"/>
      <c r="ELA260" s="821"/>
      <c r="ELB260" s="821"/>
      <c r="ELC260" s="821"/>
      <c r="ELD260" s="821"/>
      <c r="ELE260" s="821"/>
      <c r="ELF260" s="821"/>
      <c r="ELG260" s="575"/>
      <c r="ELH260" s="821"/>
      <c r="ELI260" s="821"/>
      <c r="ELJ260" s="821"/>
      <c r="ELK260" s="821"/>
      <c r="ELL260" s="821"/>
      <c r="ELM260" s="821"/>
      <c r="ELN260" s="821"/>
      <c r="ELO260" s="821"/>
      <c r="ELP260" s="821"/>
      <c r="ELQ260" s="821"/>
      <c r="ELR260" s="821"/>
      <c r="ELS260" s="821"/>
      <c r="ELT260" s="821"/>
      <c r="ELU260" s="821"/>
      <c r="ELV260" s="821"/>
      <c r="ELW260" s="821"/>
      <c r="ELX260" s="821"/>
      <c r="ELY260" s="821"/>
      <c r="ELZ260" s="821"/>
      <c r="EMA260" s="575"/>
      <c r="EMB260" s="821"/>
      <c r="EMC260" s="821"/>
      <c r="EMD260" s="821"/>
      <c r="EME260" s="821"/>
      <c r="EMF260" s="821"/>
      <c r="EMG260" s="821"/>
      <c r="EMH260" s="821"/>
      <c r="EMI260" s="821"/>
      <c r="EMJ260" s="821"/>
      <c r="EMK260" s="821"/>
      <c r="EML260" s="821"/>
      <c r="EMM260" s="821"/>
      <c r="EMN260" s="821"/>
      <c r="EMO260" s="821"/>
      <c r="EMP260" s="821"/>
      <c r="EMQ260" s="821"/>
      <c r="EMR260" s="821"/>
      <c r="EMS260" s="821"/>
      <c r="EMT260" s="821"/>
      <c r="EMU260" s="575"/>
      <c r="EMV260" s="821"/>
      <c r="EMW260" s="821"/>
      <c r="EMX260" s="821"/>
      <c r="EMY260" s="821"/>
      <c r="EMZ260" s="821"/>
      <c r="ENA260" s="821"/>
      <c r="ENB260" s="821"/>
      <c r="ENC260" s="821"/>
      <c r="END260" s="821"/>
      <c r="ENE260" s="821"/>
      <c r="ENF260" s="821"/>
      <c r="ENG260" s="821"/>
      <c r="ENH260" s="821"/>
      <c r="ENI260" s="821"/>
      <c r="ENJ260" s="821"/>
      <c r="ENK260" s="821"/>
      <c r="ENL260" s="821"/>
      <c r="ENM260" s="821"/>
      <c r="ENN260" s="821"/>
      <c r="ENO260" s="575"/>
      <c r="ENP260" s="821"/>
      <c r="ENQ260" s="821"/>
      <c r="ENR260" s="821"/>
      <c r="ENS260" s="821"/>
      <c r="ENT260" s="821"/>
      <c r="ENU260" s="821"/>
      <c r="ENV260" s="821"/>
      <c r="ENW260" s="821"/>
      <c r="ENX260" s="821"/>
      <c r="ENY260" s="821"/>
      <c r="ENZ260" s="821"/>
      <c r="EOA260" s="821"/>
      <c r="EOB260" s="821"/>
      <c r="EOC260" s="821"/>
      <c r="EOD260" s="821"/>
      <c r="EOE260" s="821"/>
      <c r="EOF260" s="821"/>
      <c r="EOG260" s="821"/>
      <c r="EOH260" s="821"/>
      <c r="EOI260" s="575"/>
      <c r="EOJ260" s="821"/>
      <c r="EOK260" s="821"/>
      <c r="EOL260" s="821"/>
      <c r="EOM260" s="821"/>
      <c r="EON260" s="821"/>
      <c r="EOO260" s="821"/>
      <c r="EOP260" s="821"/>
      <c r="EOQ260" s="821"/>
      <c r="EOR260" s="821"/>
      <c r="EOS260" s="821"/>
      <c r="EOT260" s="821"/>
      <c r="EOU260" s="821"/>
      <c r="EOV260" s="821"/>
      <c r="EOW260" s="821"/>
      <c r="EOX260" s="821"/>
      <c r="EOY260" s="821"/>
      <c r="EOZ260" s="821"/>
      <c r="EPA260" s="821"/>
      <c r="EPB260" s="821"/>
      <c r="EPC260" s="575"/>
      <c r="EPD260" s="821"/>
      <c r="EPE260" s="821"/>
      <c r="EPF260" s="821"/>
      <c r="EPG260" s="821"/>
      <c r="EPH260" s="821"/>
      <c r="EPI260" s="821"/>
      <c r="EPJ260" s="821"/>
      <c r="EPK260" s="821"/>
      <c r="EPL260" s="821"/>
      <c r="EPM260" s="821"/>
      <c r="EPN260" s="821"/>
      <c r="EPO260" s="821"/>
      <c r="EPP260" s="821"/>
      <c r="EPQ260" s="821"/>
      <c r="EPR260" s="821"/>
      <c r="EPS260" s="821"/>
      <c r="EPT260" s="821"/>
      <c r="EPU260" s="821"/>
      <c r="EPV260" s="821"/>
      <c r="EPW260" s="575"/>
      <c r="EPX260" s="821"/>
      <c r="EPY260" s="821"/>
      <c r="EPZ260" s="821"/>
      <c r="EQA260" s="821"/>
      <c r="EQB260" s="821"/>
      <c r="EQC260" s="821"/>
      <c r="EQD260" s="821"/>
      <c r="EQE260" s="821"/>
      <c r="EQF260" s="821"/>
      <c r="EQG260" s="821"/>
      <c r="EQH260" s="821"/>
      <c r="EQI260" s="821"/>
      <c r="EQJ260" s="821"/>
      <c r="EQK260" s="821"/>
      <c r="EQL260" s="821"/>
      <c r="EQM260" s="821"/>
      <c r="EQN260" s="821"/>
      <c r="EQO260" s="821"/>
      <c r="EQP260" s="821"/>
      <c r="EQQ260" s="575"/>
      <c r="EQR260" s="821"/>
      <c r="EQS260" s="821"/>
      <c r="EQT260" s="821"/>
      <c r="EQU260" s="821"/>
      <c r="EQV260" s="821"/>
      <c r="EQW260" s="821"/>
      <c r="EQX260" s="821"/>
      <c r="EQY260" s="821"/>
      <c r="EQZ260" s="821"/>
      <c r="ERA260" s="821"/>
      <c r="ERB260" s="821"/>
      <c r="ERC260" s="821"/>
      <c r="ERD260" s="821"/>
      <c r="ERE260" s="821"/>
      <c r="ERF260" s="821"/>
      <c r="ERG260" s="821"/>
      <c r="ERH260" s="821"/>
      <c r="ERI260" s="821"/>
      <c r="ERJ260" s="821"/>
      <c r="ERK260" s="575"/>
      <c r="ERL260" s="821"/>
      <c r="ERM260" s="821"/>
      <c r="ERN260" s="821"/>
      <c r="ERO260" s="821"/>
      <c r="ERP260" s="821"/>
      <c r="ERQ260" s="821"/>
      <c r="ERR260" s="821"/>
      <c r="ERS260" s="821"/>
      <c r="ERT260" s="821"/>
      <c r="ERU260" s="821"/>
      <c r="ERV260" s="821"/>
      <c r="ERW260" s="821"/>
      <c r="ERX260" s="821"/>
      <c r="ERY260" s="821"/>
      <c r="ERZ260" s="821"/>
      <c r="ESA260" s="821"/>
      <c r="ESB260" s="821"/>
      <c r="ESC260" s="821"/>
      <c r="ESD260" s="821"/>
      <c r="ESE260" s="575"/>
      <c r="ESF260" s="821"/>
      <c r="ESG260" s="821"/>
      <c r="ESH260" s="821"/>
      <c r="ESI260" s="821"/>
      <c r="ESJ260" s="821"/>
      <c r="ESK260" s="821"/>
      <c r="ESL260" s="821"/>
      <c r="ESM260" s="821"/>
      <c r="ESN260" s="821"/>
      <c r="ESO260" s="821"/>
      <c r="ESP260" s="821"/>
      <c r="ESQ260" s="821"/>
      <c r="ESR260" s="821"/>
      <c r="ESS260" s="821"/>
      <c r="EST260" s="821"/>
      <c r="ESU260" s="821"/>
      <c r="ESV260" s="821"/>
      <c r="ESW260" s="821"/>
      <c r="ESX260" s="821"/>
      <c r="ESY260" s="575"/>
      <c r="ESZ260" s="821"/>
      <c r="ETA260" s="821"/>
      <c r="ETB260" s="821"/>
      <c r="ETC260" s="821"/>
      <c r="ETD260" s="821"/>
      <c r="ETE260" s="821"/>
      <c r="ETF260" s="821"/>
      <c r="ETG260" s="821"/>
      <c r="ETH260" s="821"/>
      <c r="ETI260" s="821"/>
      <c r="ETJ260" s="821"/>
      <c r="ETK260" s="821"/>
      <c r="ETL260" s="821"/>
      <c r="ETM260" s="821"/>
      <c r="ETN260" s="821"/>
      <c r="ETO260" s="821"/>
      <c r="ETP260" s="821"/>
      <c r="ETQ260" s="821"/>
      <c r="ETR260" s="821"/>
      <c r="ETS260" s="575"/>
      <c r="ETT260" s="821"/>
      <c r="ETU260" s="821"/>
      <c r="ETV260" s="821"/>
      <c r="ETW260" s="821"/>
      <c r="ETX260" s="821"/>
      <c r="ETY260" s="821"/>
      <c r="ETZ260" s="821"/>
      <c r="EUA260" s="821"/>
      <c r="EUB260" s="821"/>
      <c r="EUC260" s="821"/>
      <c r="EUD260" s="821"/>
      <c r="EUE260" s="821"/>
      <c r="EUF260" s="821"/>
      <c r="EUG260" s="821"/>
      <c r="EUH260" s="821"/>
      <c r="EUI260" s="821"/>
      <c r="EUJ260" s="821"/>
      <c r="EUK260" s="821"/>
      <c r="EUL260" s="821"/>
      <c r="EUM260" s="575"/>
      <c r="EUN260" s="821"/>
      <c r="EUO260" s="821"/>
      <c r="EUP260" s="821"/>
      <c r="EUQ260" s="821"/>
      <c r="EUR260" s="821"/>
      <c r="EUS260" s="821"/>
      <c r="EUT260" s="821"/>
      <c r="EUU260" s="821"/>
      <c r="EUV260" s="821"/>
      <c r="EUW260" s="821"/>
      <c r="EUX260" s="821"/>
      <c r="EUY260" s="821"/>
      <c r="EUZ260" s="821"/>
      <c r="EVA260" s="821"/>
      <c r="EVB260" s="821"/>
      <c r="EVC260" s="821"/>
      <c r="EVD260" s="821"/>
      <c r="EVE260" s="821"/>
      <c r="EVF260" s="821"/>
      <c r="EVG260" s="575"/>
      <c r="EVH260" s="821"/>
      <c r="EVI260" s="821"/>
      <c r="EVJ260" s="821"/>
      <c r="EVK260" s="821"/>
      <c r="EVL260" s="821"/>
      <c r="EVM260" s="821"/>
      <c r="EVN260" s="821"/>
      <c r="EVO260" s="821"/>
      <c r="EVP260" s="821"/>
      <c r="EVQ260" s="821"/>
      <c r="EVR260" s="821"/>
      <c r="EVS260" s="821"/>
      <c r="EVT260" s="821"/>
      <c r="EVU260" s="821"/>
      <c r="EVV260" s="821"/>
      <c r="EVW260" s="821"/>
      <c r="EVX260" s="821"/>
      <c r="EVY260" s="821"/>
      <c r="EVZ260" s="821"/>
      <c r="EWA260" s="575"/>
      <c r="EWB260" s="821"/>
      <c r="EWC260" s="821"/>
      <c r="EWD260" s="821"/>
      <c r="EWE260" s="821"/>
      <c r="EWF260" s="821"/>
      <c r="EWG260" s="821"/>
      <c r="EWH260" s="821"/>
      <c r="EWI260" s="821"/>
      <c r="EWJ260" s="821"/>
      <c r="EWK260" s="821"/>
      <c r="EWL260" s="821"/>
      <c r="EWM260" s="821"/>
      <c r="EWN260" s="821"/>
      <c r="EWO260" s="821"/>
      <c r="EWP260" s="821"/>
      <c r="EWQ260" s="821"/>
      <c r="EWR260" s="821"/>
      <c r="EWS260" s="821"/>
      <c r="EWT260" s="821"/>
      <c r="EWU260" s="575"/>
      <c r="EWV260" s="821"/>
      <c r="EWW260" s="821"/>
      <c r="EWX260" s="821"/>
      <c r="EWY260" s="821"/>
      <c r="EWZ260" s="821"/>
      <c r="EXA260" s="821"/>
      <c r="EXB260" s="821"/>
      <c r="EXC260" s="821"/>
      <c r="EXD260" s="821"/>
      <c r="EXE260" s="821"/>
      <c r="EXF260" s="821"/>
      <c r="EXG260" s="821"/>
      <c r="EXH260" s="821"/>
      <c r="EXI260" s="821"/>
      <c r="EXJ260" s="821"/>
      <c r="EXK260" s="821"/>
      <c r="EXL260" s="821"/>
      <c r="EXM260" s="821"/>
      <c r="EXN260" s="821"/>
      <c r="EXO260" s="575"/>
      <c r="EXP260" s="821"/>
      <c r="EXQ260" s="821"/>
      <c r="EXR260" s="821"/>
      <c r="EXS260" s="821"/>
      <c r="EXT260" s="821"/>
      <c r="EXU260" s="821"/>
      <c r="EXV260" s="821"/>
      <c r="EXW260" s="821"/>
      <c r="EXX260" s="821"/>
      <c r="EXY260" s="821"/>
      <c r="EXZ260" s="821"/>
      <c r="EYA260" s="821"/>
      <c r="EYB260" s="821"/>
      <c r="EYC260" s="821"/>
      <c r="EYD260" s="821"/>
      <c r="EYE260" s="821"/>
      <c r="EYF260" s="821"/>
      <c r="EYG260" s="821"/>
      <c r="EYH260" s="821"/>
      <c r="EYI260" s="575"/>
      <c r="EYJ260" s="821"/>
      <c r="EYK260" s="821"/>
      <c r="EYL260" s="821"/>
      <c r="EYM260" s="821"/>
      <c r="EYN260" s="821"/>
      <c r="EYO260" s="821"/>
      <c r="EYP260" s="821"/>
      <c r="EYQ260" s="821"/>
      <c r="EYR260" s="821"/>
      <c r="EYS260" s="821"/>
      <c r="EYT260" s="821"/>
      <c r="EYU260" s="821"/>
      <c r="EYV260" s="821"/>
      <c r="EYW260" s="821"/>
      <c r="EYX260" s="821"/>
      <c r="EYY260" s="821"/>
      <c r="EYZ260" s="821"/>
      <c r="EZA260" s="821"/>
      <c r="EZB260" s="821"/>
      <c r="EZC260" s="575"/>
      <c r="EZD260" s="821"/>
      <c r="EZE260" s="821"/>
      <c r="EZF260" s="821"/>
      <c r="EZG260" s="821"/>
      <c r="EZH260" s="821"/>
      <c r="EZI260" s="821"/>
      <c r="EZJ260" s="821"/>
      <c r="EZK260" s="821"/>
      <c r="EZL260" s="821"/>
      <c r="EZM260" s="821"/>
      <c r="EZN260" s="821"/>
      <c r="EZO260" s="821"/>
      <c r="EZP260" s="821"/>
      <c r="EZQ260" s="821"/>
      <c r="EZR260" s="821"/>
      <c r="EZS260" s="821"/>
      <c r="EZT260" s="821"/>
      <c r="EZU260" s="821"/>
      <c r="EZV260" s="821"/>
      <c r="EZW260" s="575"/>
      <c r="EZX260" s="821"/>
      <c r="EZY260" s="821"/>
      <c r="EZZ260" s="821"/>
      <c r="FAA260" s="821"/>
      <c r="FAB260" s="821"/>
      <c r="FAC260" s="821"/>
      <c r="FAD260" s="821"/>
      <c r="FAE260" s="821"/>
      <c r="FAF260" s="821"/>
      <c r="FAG260" s="821"/>
      <c r="FAH260" s="821"/>
      <c r="FAI260" s="821"/>
      <c r="FAJ260" s="821"/>
      <c r="FAK260" s="821"/>
      <c r="FAL260" s="821"/>
      <c r="FAM260" s="821"/>
      <c r="FAN260" s="821"/>
      <c r="FAO260" s="821"/>
      <c r="FAP260" s="821"/>
      <c r="FAQ260" s="575"/>
      <c r="FAR260" s="821"/>
      <c r="FAS260" s="821"/>
      <c r="FAT260" s="821"/>
      <c r="FAU260" s="821"/>
      <c r="FAV260" s="821"/>
      <c r="FAW260" s="821"/>
      <c r="FAX260" s="821"/>
      <c r="FAY260" s="821"/>
      <c r="FAZ260" s="821"/>
      <c r="FBA260" s="821"/>
      <c r="FBB260" s="821"/>
      <c r="FBC260" s="821"/>
      <c r="FBD260" s="821"/>
      <c r="FBE260" s="821"/>
      <c r="FBF260" s="821"/>
      <c r="FBG260" s="821"/>
      <c r="FBH260" s="821"/>
      <c r="FBI260" s="821"/>
      <c r="FBJ260" s="821"/>
      <c r="FBK260" s="575"/>
      <c r="FBL260" s="821"/>
      <c r="FBM260" s="821"/>
      <c r="FBN260" s="821"/>
      <c r="FBO260" s="821"/>
      <c r="FBP260" s="821"/>
      <c r="FBQ260" s="821"/>
      <c r="FBR260" s="821"/>
      <c r="FBS260" s="821"/>
      <c r="FBT260" s="821"/>
      <c r="FBU260" s="821"/>
      <c r="FBV260" s="821"/>
      <c r="FBW260" s="821"/>
      <c r="FBX260" s="821"/>
      <c r="FBY260" s="821"/>
      <c r="FBZ260" s="821"/>
      <c r="FCA260" s="821"/>
      <c r="FCB260" s="821"/>
      <c r="FCC260" s="821"/>
      <c r="FCD260" s="821"/>
      <c r="FCE260" s="575"/>
      <c r="FCF260" s="821"/>
      <c r="FCG260" s="821"/>
      <c r="FCH260" s="821"/>
      <c r="FCI260" s="821"/>
      <c r="FCJ260" s="821"/>
      <c r="FCK260" s="821"/>
      <c r="FCL260" s="821"/>
      <c r="FCM260" s="821"/>
      <c r="FCN260" s="821"/>
      <c r="FCO260" s="821"/>
      <c r="FCP260" s="821"/>
      <c r="FCQ260" s="821"/>
      <c r="FCR260" s="821"/>
      <c r="FCS260" s="821"/>
      <c r="FCT260" s="821"/>
      <c r="FCU260" s="821"/>
      <c r="FCV260" s="821"/>
      <c r="FCW260" s="821"/>
      <c r="FCX260" s="821"/>
      <c r="FCY260" s="575"/>
      <c r="FCZ260" s="821"/>
      <c r="FDA260" s="821"/>
      <c r="FDB260" s="821"/>
      <c r="FDC260" s="821"/>
      <c r="FDD260" s="821"/>
      <c r="FDE260" s="821"/>
      <c r="FDF260" s="821"/>
      <c r="FDG260" s="821"/>
      <c r="FDH260" s="821"/>
      <c r="FDI260" s="821"/>
      <c r="FDJ260" s="821"/>
      <c r="FDK260" s="821"/>
      <c r="FDL260" s="821"/>
      <c r="FDM260" s="821"/>
      <c r="FDN260" s="821"/>
      <c r="FDO260" s="821"/>
      <c r="FDP260" s="821"/>
      <c r="FDQ260" s="821"/>
      <c r="FDR260" s="821"/>
      <c r="FDS260" s="575"/>
      <c r="FDT260" s="821"/>
      <c r="FDU260" s="821"/>
      <c r="FDV260" s="821"/>
      <c r="FDW260" s="821"/>
      <c r="FDX260" s="821"/>
      <c r="FDY260" s="821"/>
      <c r="FDZ260" s="821"/>
      <c r="FEA260" s="821"/>
      <c r="FEB260" s="821"/>
      <c r="FEC260" s="821"/>
      <c r="FED260" s="821"/>
      <c r="FEE260" s="821"/>
      <c r="FEF260" s="821"/>
      <c r="FEG260" s="821"/>
      <c r="FEH260" s="821"/>
      <c r="FEI260" s="821"/>
      <c r="FEJ260" s="821"/>
      <c r="FEK260" s="821"/>
      <c r="FEL260" s="821"/>
      <c r="FEM260" s="575"/>
      <c r="FEN260" s="821"/>
      <c r="FEO260" s="821"/>
      <c r="FEP260" s="821"/>
      <c r="FEQ260" s="821"/>
      <c r="FER260" s="821"/>
      <c r="FES260" s="821"/>
      <c r="FET260" s="821"/>
      <c r="FEU260" s="821"/>
      <c r="FEV260" s="821"/>
      <c r="FEW260" s="821"/>
      <c r="FEX260" s="821"/>
      <c r="FEY260" s="821"/>
      <c r="FEZ260" s="821"/>
      <c r="FFA260" s="821"/>
      <c r="FFB260" s="821"/>
      <c r="FFC260" s="821"/>
      <c r="FFD260" s="821"/>
      <c r="FFE260" s="821"/>
      <c r="FFF260" s="821"/>
      <c r="FFG260" s="575"/>
      <c r="FFH260" s="821"/>
      <c r="FFI260" s="821"/>
      <c r="FFJ260" s="821"/>
      <c r="FFK260" s="821"/>
      <c r="FFL260" s="821"/>
      <c r="FFM260" s="821"/>
      <c r="FFN260" s="821"/>
      <c r="FFO260" s="821"/>
      <c r="FFP260" s="821"/>
      <c r="FFQ260" s="821"/>
      <c r="FFR260" s="821"/>
      <c r="FFS260" s="821"/>
      <c r="FFT260" s="821"/>
      <c r="FFU260" s="821"/>
      <c r="FFV260" s="821"/>
      <c r="FFW260" s="821"/>
      <c r="FFX260" s="821"/>
      <c r="FFY260" s="821"/>
      <c r="FFZ260" s="821"/>
      <c r="FGA260" s="575"/>
      <c r="FGB260" s="821"/>
      <c r="FGC260" s="821"/>
      <c r="FGD260" s="821"/>
      <c r="FGE260" s="821"/>
      <c r="FGF260" s="821"/>
      <c r="FGG260" s="821"/>
      <c r="FGH260" s="821"/>
      <c r="FGI260" s="821"/>
      <c r="FGJ260" s="821"/>
      <c r="FGK260" s="821"/>
      <c r="FGL260" s="821"/>
      <c r="FGM260" s="821"/>
      <c r="FGN260" s="821"/>
      <c r="FGO260" s="821"/>
      <c r="FGP260" s="821"/>
      <c r="FGQ260" s="821"/>
      <c r="FGR260" s="821"/>
      <c r="FGS260" s="821"/>
      <c r="FGT260" s="821"/>
      <c r="FGU260" s="575"/>
      <c r="FGV260" s="821"/>
      <c r="FGW260" s="821"/>
      <c r="FGX260" s="821"/>
      <c r="FGY260" s="821"/>
      <c r="FGZ260" s="821"/>
      <c r="FHA260" s="821"/>
      <c r="FHB260" s="821"/>
      <c r="FHC260" s="821"/>
      <c r="FHD260" s="821"/>
      <c r="FHE260" s="821"/>
      <c r="FHF260" s="821"/>
      <c r="FHG260" s="821"/>
      <c r="FHH260" s="821"/>
      <c r="FHI260" s="821"/>
      <c r="FHJ260" s="821"/>
      <c r="FHK260" s="821"/>
      <c r="FHL260" s="821"/>
      <c r="FHM260" s="821"/>
      <c r="FHN260" s="821"/>
      <c r="FHO260" s="575"/>
      <c r="FHP260" s="821"/>
      <c r="FHQ260" s="821"/>
      <c r="FHR260" s="821"/>
      <c r="FHS260" s="821"/>
      <c r="FHT260" s="821"/>
      <c r="FHU260" s="821"/>
      <c r="FHV260" s="821"/>
      <c r="FHW260" s="821"/>
      <c r="FHX260" s="821"/>
      <c r="FHY260" s="821"/>
      <c r="FHZ260" s="821"/>
      <c r="FIA260" s="821"/>
      <c r="FIB260" s="821"/>
      <c r="FIC260" s="821"/>
      <c r="FID260" s="821"/>
      <c r="FIE260" s="821"/>
      <c r="FIF260" s="821"/>
      <c r="FIG260" s="821"/>
      <c r="FIH260" s="821"/>
      <c r="FII260" s="575"/>
      <c r="FIJ260" s="821"/>
      <c r="FIK260" s="821"/>
      <c r="FIL260" s="821"/>
      <c r="FIM260" s="821"/>
      <c r="FIN260" s="821"/>
      <c r="FIO260" s="821"/>
      <c r="FIP260" s="821"/>
      <c r="FIQ260" s="821"/>
      <c r="FIR260" s="821"/>
      <c r="FIS260" s="821"/>
      <c r="FIT260" s="821"/>
      <c r="FIU260" s="821"/>
      <c r="FIV260" s="821"/>
      <c r="FIW260" s="821"/>
      <c r="FIX260" s="821"/>
      <c r="FIY260" s="821"/>
      <c r="FIZ260" s="821"/>
      <c r="FJA260" s="821"/>
      <c r="FJB260" s="821"/>
      <c r="FJC260" s="575"/>
      <c r="FJD260" s="821"/>
      <c r="FJE260" s="821"/>
      <c r="FJF260" s="821"/>
      <c r="FJG260" s="821"/>
      <c r="FJH260" s="821"/>
      <c r="FJI260" s="821"/>
      <c r="FJJ260" s="821"/>
      <c r="FJK260" s="821"/>
      <c r="FJL260" s="821"/>
      <c r="FJM260" s="821"/>
      <c r="FJN260" s="821"/>
      <c r="FJO260" s="821"/>
      <c r="FJP260" s="821"/>
      <c r="FJQ260" s="821"/>
      <c r="FJR260" s="821"/>
      <c r="FJS260" s="821"/>
      <c r="FJT260" s="821"/>
      <c r="FJU260" s="821"/>
      <c r="FJV260" s="821"/>
      <c r="FJW260" s="575"/>
      <c r="FJX260" s="821"/>
      <c r="FJY260" s="821"/>
      <c r="FJZ260" s="821"/>
      <c r="FKA260" s="821"/>
      <c r="FKB260" s="821"/>
      <c r="FKC260" s="821"/>
      <c r="FKD260" s="821"/>
      <c r="FKE260" s="821"/>
      <c r="FKF260" s="821"/>
      <c r="FKG260" s="821"/>
      <c r="FKH260" s="821"/>
      <c r="FKI260" s="821"/>
      <c r="FKJ260" s="821"/>
      <c r="FKK260" s="821"/>
      <c r="FKL260" s="821"/>
      <c r="FKM260" s="821"/>
      <c r="FKN260" s="821"/>
      <c r="FKO260" s="821"/>
      <c r="FKP260" s="821"/>
      <c r="FKQ260" s="575"/>
      <c r="FKR260" s="821"/>
      <c r="FKS260" s="821"/>
      <c r="FKT260" s="821"/>
      <c r="FKU260" s="821"/>
      <c r="FKV260" s="821"/>
      <c r="FKW260" s="821"/>
      <c r="FKX260" s="821"/>
      <c r="FKY260" s="821"/>
      <c r="FKZ260" s="821"/>
      <c r="FLA260" s="821"/>
      <c r="FLB260" s="821"/>
      <c r="FLC260" s="821"/>
      <c r="FLD260" s="821"/>
      <c r="FLE260" s="821"/>
      <c r="FLF260" s="821"/>
      <c r="FLG260" s="821"/>
      <c r="FLH260" s="821"/>
      <c r="FLI260" s="821"/>
      <c r="FLJ260" s="821"/>
      <c r="FLK260" s="575"/>
      <c r="FLL260" s="821"/>
      <c r="FLM260" s="821"/>
      <c r="FLN260" s="821"/>
      <c r="FLO260" s="821"/>
      <c r="FLP260" s="821"/>
      <c r="FLQ260" s="821"/>
      <c r="FLR260" s="821"/>
      <c r="FLS260" s="821"/>
      <c r="FLT260" s="821"/>
      <c r="FLU260" s="821"/>
      <c r="FLV260" s="821"/>
      <c r="FLW260" s="821"/>
      <c r="FLX260" s="821"/>
      <c r="FLY260" s="821"/>
      <c r="FLZ260" s="821"/>
      <c r="FMA260" s="821"/>
      <c r="FMB260" s="821"/>
      <c r="FMC260" s="821"/>
      <c r="FMD260" s="821"/>
      <c r="FME260" s="575"/>
      <c r="FMF260" s="821"/>
      <c r="FMG260" s="821"/>
      <c r="FMH260" s="821"/>
      <c r="FMI260" s="821"/>
      <c r="FMJ260" s="821"/>
      <c r="FMK260" s="821"/>
      <c r="FML260" s="821"/>
      <c r="FMM260" s="821"/>
      <c r="FMN260" s="821"/>
      <c r="FMO260" s="821"/>
      <c r="FMP260" s="821"/>
      <c r="FMQ260" s="821"/>
      <c r="FMR260" s="821"/>
      <c r="FMS260" s="821"/>
      <c r="FMT260" s="821"/>
      <c r="FMU260" s="821"/>
      <c r="FMV260" s="821"/>
      <c r="FMW260" s="821"/>
      <c r="FMX260" s="821"/>
      <c r="FMY260" s="575"/>
      <c r="FMZ260" s="821"/>
      <c r="FNA260" s="821"/>
      <c r="FNB260" s="821"/>
      <c r="FNC260" s="821"/>
      <c r="FND260" s="821"/>
      <c r="FNE260" s="821"/>
      <c r="FNF260" s="821"/>
      <c r="FNG260" s="821"/>
      <c r="FNH260" s="821"/>
      <c r="FNI260" s="821"/>
      <c r="FNJ260" s="821"/>
      <c r="FNK260" s="821"/>
      <c r="FNL260" s="821"/>
      <c r="FNM260" s="821"/>
      <c r="FNN260" s="821"/>
      <c r="FNO260" s="821"/>
      <c r="FNP260" s="821"/>
      <c r="FNQ260" s="821"/>
      <c r="FNR260" s="821"/>
      <c r="FNS260" s="575"/>
      <c r="FNT260" s="821"/>
      <c r="FNU260" s="821"/>
      <c r="FNV260" s="821"/>
      <c r="FNW260" s="821"/>
      <c r="FNX260" s="821"/>
      <c r="FNY260" s="821"/>
      <c r="FNZ260" s="821"/>
      <c r="FOA260" s="821"/>
      <c r="FOB260" s="821"/>
      <c r="FOC260" s="821"/>
      <c r="FOD260" s="821"/>
      <c r="FOE260" s="821"/>
      <c r="FOF260" s="821"/>
      <c r="FOG260" s="821"/>
      <c r="FOH260" s="821"/>
      <c r="FOI260" s="821"/>
      <c r="FOJ260" s="821"/>
      <c r="FOK260" s="821"/>
      <c r="FOL260" s="821"/>
      <c r="FOM260" s="575"/>
      <c r="FON260" s="821"/>
      <c r="FOO260" s="821"/>
      <c r="FOP260" s="821"/>
      <c r="FOQ260" s="821"/>
      <c r="FOR260" s="821"/>
      <c r="FOS260" s="821"/>
      <c r="FOT260" s="821"/>
      <c r="FOU260" s="821"/>
      <c r="FOV260" s="821"/>
      <c r="FOW260" s="821"/>
      <c r="FOX260" s="821"/>
      <c r="FOY260" s="821"/>
      <c r="FOZ260" s="821"/>
      <c r="FPA260" s="821"/>
      <c r="FPB260" s="821"/>
      <c r="FPC260" s="821"/>
      <c r="FPD260" s="821"/>
      <c r="FPE260" s="821"/>
      <c r="FPF260" s="821"/>
      <c r="FPG260" s="575"/>
      <c r="FPH260" s="821"/>
      <c r="FPI260" s="821"/>
      <c r="FPJ260" s="821"/>
      <c r="FPK260" s="821"/>
      <c r="FPL260" s="821"/>
      <c r="FPM260" s="821"/>
      <c r="FPN260" s="821"/>
      <c r="FPO260" s="821"/>
      <c r="FPP260" s="821"/>
      <c r="FPQ260" s="821"/>
      <c r="FPR260" s="821"/>
      <c r="FPS260" s="821"/>
      <c r="FPT260" s="821"/>
      <c r="FPU260" s="821"/>
      <c r="FPV260" s="821"/>
      <c r="FPW260" s="821"/>
      <c r="FPX260" s="821"/>
      <c r="FPY260" s="821"/>
      <c r="FPZ260" s="821"/>
      <c r="FQA260" s="575"/>
      <c r="FQB260" s="821"/>
      <c r="FQC260" s="821"/>
      <c r="FQD260" s="821"/>
      <c r="FQE260" s="821"/>
      <c r="FQF260" s="821"/>
      <c r="FQG260" s="821"/>
      <c r="FQH260" s="821"/>
      <c r="FQI260" s="821"/>
      <c r="FQJ260" s="821"/>
      <c r="FQK260" s="821"/>
      <c r="FQL260" s="821"/>
      <c r="FQM260" s="821"/>
      <c r="FQN260" s="821"/>
      <c r="FQO260" s="821"/>
      <c r="FQP260" s="821"/>
      <c r="FQQ260" s="821"/>
      <c r="FQR260" s="821"/>
      <c r="FQS260" s="821"/>
      <c r="FQT260" s="821"/>
      <c r="FQU260" s="575"/>
      <c r="FQV260" s="821"/>
      <c r="FQW260" s="821"/>
      <c r="FQX260" s="821"/>
      <c r="FQY260" s="821"/>
      <c r="FQZ260" s="821"/>
      <c r="FRA260" s="821"/>
      <c r="FRB260" s="821"/>
      <c r="FRC260" s="821"/>
      <c r="FRD260" s="821"/>
      <c r="FRE260" s="821"/>
      <c r="FRF260" s="821"/>
      <c r="FRG260" s="821"/>
      <c r="FRH260" s="821"/>
      <c r="FRI260" s="821"/>
      <c r="FRJ260" s="821"/>
      <c r="FRK260" s="821"/>
      <c r="FRL260" s="821"/>
      <c r="FRM260" s="821"/>
      <c r="FRN260" s="821"/>
      <c r="FRO260" s="575"/>
      <c r="FRP260" s="821"/>
      <c r="FRQ260" s="821"/>
      <c r="FRR260" s="821"/>
      <c r="FRS260" s="821"/>
      <c r="FRT260" s="821"/>
      <c r="FRU260" s="821"/>
      <c r="FRV260" s="821"/>
      <c r="FRW260" s="821"/>
      <c r="FRX260" s="821"/>
      <c r="FRY260" s="821"/>
      <c r="FRZ260" s="821"/>
      <c r="FSA260" s="821"/>
      <c r="FSB260" s="821"/>
      <c r="FSC260" s="821"/>
      <c r="FSD260" s="821"/>
      <c r="FSE260" s="821"/>
      <c r="FSF260" s="821"/>
      <c r="FSG260" s="821"/>
      <c r="FSH260" s="821"/>
      <c r="FSI260" s="575"/>
      <c r="FSJ260" s="821"/>
      <c r="FSK260" s="821"/>
      <c r="FSL260" s="821"/>
      <c r="FSM260" s="821"/>
      <c r="FSN260" s="821"/>
      <c r="FSO260" s="821"/>
      <c r="FSP260" s="821"/>
      <c r="FSQ260" s="821"/>
      <c r="FSR260" s="821"/>
      <c r="FSS260" s="821"/>
      <c r="FST260" s="821"/>
      <c r="FSU260" s="821"/>
      <c r="FSV260" s="821"/>
      <c r="FSW260" s="821"/>
      <c r="FSX260" s="821"/>
      <c r="FSY260" s="821"/>
      <c r="FSZ260" s="821"/>
      <c r="FTA260" s="821"/>
      <c r="FTB260" s="821"/>
      <c r="FTC260" s="575"/>
      <c r="FTD260" s="821"/>
      <c r="FTE260" s="821"/>
      <c r="FTF260" s="821"/>
      <c r="FTG260" s="821"/>
      <c r="FTH260" s="821"/>
      <c r="FTI260" s="821"/>
      <c r="FTJ260" s="821"/>
      <c r="FTK260" s="821"/>
      <c r="FTL260" s="821"/>
      <c r="FTM260" s="821"/>
      <c r="FTN260" s="821"/>
      <c r="FTO260" s="821"/>
      <c r="FTP260" s="821"/>
      <c r="FTQ260" s="821"/>
      <c r="FTR260" s="821"/>
      <c r="FTS260" s="821"/>
      <c r="FTT260" s="821"/>
      <c r="FTU260" s="821"/>
      <c r="FTV260" s="821"/>
      <c r="FTW260" s="575"/>
      <c r="FTX260" s="821"/>
      <c r="FTY260" s="821"/>
      <c r="FTZ260" s="821"/>
      <c r="FUA260" s="821"/>
      <c r="FUB260" s="821"/>
      <c r="FUC260" s="821"/>
      <c r="FUD260" s="821"/>
      <c r="FUE260" s="821"/>
      <c r="FUF260" s="821"/>
      <c r="FUG260" s="821"/>
      <c r="FUH260" s="821"/>
      <c r="FUI260" s="821"/>
      <c r="FUJ260" s="821"/>
      <c r="FUK260" s="821"/>
      <c r="FUL260" s="821"/>
      <c r="FUM260" s="821"/>
      <c r="FUN260" s="821"/>
      <c r="FUO260" s="821"/>
      <c r="FUP260" s="821"/>
      <c r="FUQ260" s="575"/>
      <c r="FUR260" s="821"/>
      <c r="FUS260" s="821"/>
      <c r="FUT260" s="821"/>
      <c r="FUU260" s="821"/>
      <c r="FUV260" s="821"/>
      <c r="FUW260" s="821"/>
      <c r="FUX260" s="821"/>
      <c r="FUY260" s="821"/>
      <c r="FUZ260" s="821"/>
      <c r="FVA260" s="821"/>
      <c r="FVB260" s="821"/>
      <c r="FVC260" s="821"/>
      <c r="FVD260" s="821"/>
      <c r="FVE260" s="821"/>
      <c r="FVF260" s="821"/>
      <c r="FVG260" s="821"/>
      <c r="FVH260" s="821"/>
      <c r="FVI260" s="821"/>
      <c r="FVJ260" s="821"/>
      <c r="FVK260" s="575"/>
      <c r="FVL260" s="821"/>
      <c r="FVM260" s="821"/>
      <c r="FVN260" s="821"/>
      <c r="FVO260" s="821"/>
      <c r="FVP260" s="821"/>
      <c r="FVQ260" s="821"/>
      <c r="FVR260" s="821"/>
      <c r="FVS260" s="821"/>
      <c r="FVT260" s="821"/>
      <c r="FVU260" s="821"/>
      <c r="FVV260" s="821"/>
      <c r="FVW260" s="821"/>
      <c r="FVX260" s="821"/>
      <c r="FVY260" s="821"/>
      <c r="FVZ260" s="821"/>
      <c r="FWA260" s="821"/>
      <c r="FWB260" s="821"/>
      <c r="FWC260" s="821"/>
      <c r="FWD260" s="821"/>
      <c r="FWE260" s="575"/>
      <c r="FWF260" s="821"/>
      <c r="FWG260" s="821"/>
      <c r="FWH260" s="821"/>
      <c r="FWI260" s="821"/>
      <c r="FWJ260" s="821"/>
      <c r="FWK260" s="821"/>
      <c r="FWL260" s="821"/>
      <c r="FWM260" s="821"/>
      <c r="FWN260" s="821"/>
      <c r="FWO260" s="821"/>
      <c r="FWP260" s="821"/>
      <c r="FWQ260" s="821"/>
      <c r="FWR260" s="821"/>
      <c r="FWS260" s="821"/>
      <c r="FWT260" s="821"/>
      <c r="FWU260" s="821"/>
      <c r="FWV260" s="821"/>
      <c r="FWW260" s="821"/>
      <c r="FWX260" s="821"/>
      <c r="FWY260" s="575"/>
      <c r="FWZ260" s="821"/>
      <c r="FXA260" s="821"/>
      <c r="FXB260" s="821"/>
      <c r="FXC260" s="821"/>
      <c r="FXD260" s="821"/>
      <c r="FXE260" s="821"/>
      <c r="FXF260" s="821"/>
      <c r="FXG260" s="821"/>
      <c r="FXH260" s="821"/>
      <c r="FXI260" s="821"/>
      <c r="FXJ260" s="821"/>
      <c r="FXK260" s="821"/>
      <c r="FXL260" s="821"/>
      <c r="FXM260" s="821"/>
      <c r="FXN260" s="821"/>
      <c r="FXO260" s="821"/>
      <c r="FXP260" s="821"/>
      <c r="FXQ260" s="821"/>
      <c r="FXR260" s="821"/>
      <c r="FXS260" s="575"/>
      <c r="FXT260" s="821"/>
      <c r="FXU260" s="821"/>
      <c r="FXV260" s="821"/>
      <c r="FXW260" s="821"/>
      <c r="FXX260" s="821"/>
      <c r="FXY260" s="821"/>
      <c r="FXZ260" s="821"/>
      <c r="FYA260" s="821"/>
      <c r="FYB260" s="821"/>
      <c r="FYC260" s="821"/>
      <c r="FYD260" s="821"/>
      <c r="FYE260" s="821"/>
      <c r="FYF260" s="821"/>
      <c r="FYG260" s="821"/>
      <c r="FYH260" s="821"/>
      <c r="FYI260" s="821"/>
      <c r="FYJ260" s="821"/>
      <c r="FYK260" s="821"/>
      <c r="FYL260" s="821"/>
      <c r="FYM260" s="575"/>
      <c r="FYN260" s="821"/>
      <c r="FYO260" s="821"/>
      <c r="FYP260" s="821"/>
      <c r="FYQ260" s="821"/>
      <c r="FYR260" s="821"/>
      <c r="FYS260" s="821"/>
      <c r="FYT260" s="821"/>
      <c r="FYU260" s="821"/>
      <c r="FYV260" s="821"/>
      <c r="FYW260" s="821"/>
      <c r="FYX260" s="821"/>
      <c r="FYY260" s="821"/>
      <c r="FYZ260" s="821"/>
      <c r="FZA260" s="821"/>
      <c r="FZB260" s="821"/>
      <c r="FZC260" s="821"/>
      <c r="FZD260" s="821"/>
      <c r="FZE260" s="821"/>
      <c r="FZF260" s="821"/>
      <c r="FZG260" s="575"/>
      <c r="FZH260" s="821"/>
      <c r="FZI260" s="821"/>
      <c r="FZJ260" s="821"/>
      <c r="FZK260" s="821"/>
      <c r="FZL260" s="821"/>
      <c r="FZM260" s="821"/>
      <c r="FZN260" s="821"/>
      <c r="FZO260" s="821"/>
      <c r="FZP260" s="821"/>
      <c r="FZQ260" s="821"/>
      <c r="FZR260" s="821"/>
      <c r="FZS260" s="821"/>
      <c r="FZT260" s="821"/>
      <c r="FZU260" s="821"/>
      <c r="FZV260" s="821"/>
      <c r="FZW260" s="821"/>
      <c r="FZX260" s="821"/>
      <c r="FZY260" s="821"/>
      <c r="FZZ260" s="821"/>
      <c r="GAA260" s="575"/>
      <c r="GAB260" s="821"/>
      <c r="GAC260" s="821"/>
      <c r="GAD260" s="821"/>
      <c r="GAE260" s="821"/>
      <c r="GAF260" s="821"/>
      <c r="GAG260" s="821"/>
      <c r="GAH260" s="821"/>
      <c r="GAI260" s="821"/>
      <c r="GAJ260" s="821"/>
      <c r="GAK260" s="821"/>
      <c r="GAL260" s="821"/>
      <c r="GAM260" s="821"/>
      <c r="GAN260" s="821"/>
      <c r="GAO260" s="821"/>
      <c r="GAP260" s="821"/>
      <c r="GAQ260" s="821"/>
      <c r="GAR260" s="821"/>
      <c r="GAS260" s="821"/>
      <c r="GAT260" s="821"/>
      <c r="GAU260" s="575"/>
      <c r="GAV260" s="821"/>
      <c r="GAW260" s="821"/>
      <c r="GAX260" s="821"/>
      <c r="GAY260" s="821"/>
      <c r="GAZ260" s="821"/>
      <c r="GBA260" s="821"/>
      <c r="GBB260" s="821"/>
      <c r="GBC260" s="821"/>
      <c r="GBD260" s="821"/>
      <c r="GBE260" s="821"/>
      <c r="GBF260" s="821"/>
      <c r="GBG260" s="821"/>
      <c r="GBH260" s="821"/>
      <c r="GBI260" s="821"/>
      <c r="GBJ260" s="821"/>
      <c r="GBK260" s="821"/>
      <c r="GBL260" s="821"/>
      <c r="GBM260" s="821"/>
      <c r="GBN260" s="821"/>
      <c r="GBO260" s="575"/>
      <c r="GBP260" s="821"/>
      <c r="GBQ260" s="821"/>
      <c r="GBR260" s="821"/>
      <c r="GBS260" s="821"/>
      <c r="GBT260" s="821"/>
      <c r="GBU260" s="821"/>
      <c r="GBV260" s="821"/>
      <c r="GBW260" s="821"/>
      <c r="GBX260" s="821"/>
      <c r="GBY260" s="821"/>
      <c r="GBZ260" s="821"/>
      <c r="GCA260" s="821"/>
      <c r="GCB260" s="821"/>
      <c r="GCC260" s="821"/>
      <c r="GCD260" s="821"/>
      <c r="GCE260" s="821"/>
      <c r="GCF260" s="821"/>
      <c r="GCG260" s="821"/>
      <c r="GCH260" s="821"/>
      <c r="GCI260" s="575"/>
      <c r="GCJ260" s="821"/>
      <c r="GCK260" s="821"/>
      <c r="GCL260" s="821"/>
      <c r="GCM260" s="821"/>
      <c r="GCN260" s="821"/>
      <c r="GCO260" s="821"/>
      <c r="GCP260" s="821"/>
      <c r="GCQ260" s="821"/>
      <c r="GCR260" s="821"/>
      <c r="GCS260" s="821"/>
      <c r="GCT260" s="821"/>
      <c r="GCU260" s="821"/>
      <c r="GCV260" s="821"/>
      <c r="GCW260" s="821"/>
      <c r="GCX260" s="821"/>
      <c r="GCY260" s="821"/>
      <c r="GCZ260" s="821"/>
      <c r="GDA260" s="821"/>
      <c r="GDB260" s="821"/>
      <c r="GDC260" s="575"/>
      <c r="GDD260" s="821"/>
      <c r="GDE260" s="821"/>
      <c r="GDF260" s="821"/>
      <c r="GDG260" s="821"/>
      <c r="GDH260" s="821"/>
      <c r="GDI260" s="821"/>
      <c r="GDJ260" s="821"/>
      <c r="GDK260" s="821"/>
      <c r="GDL260" s="821"/>
      <c r="GDM260" s="821"/>
      <c r="GDN260" s="821"/>
      <c r="GDO260" s="821"/>
      <c r="GDP260" s="821"/>
      <c r="GDQ260" s="821"/>
      <c r="GDR260" s="821"/>
      <c r="GDS260" s="821"/>
      <c r="GDT260" s="821"/>
      <c r="GDU260" s="821"/>
      <c r="GDV260" s="821"/>
      <c r="GDW260" s="575"/>
      <c r="GDX260" s="821"/>
      <c r="GDY260" s="821"/>
      <c r="GDZ260" s="821"/>
      <c r="GEA260" s="821"/>
      <c r="GEB260" s="821"/>
      <c r="GEC260" s="821"/>
      <c r="GED260" s="821"/>
      <c r="GEE260" s="821"/>
      <c r="GEF260" s="821"/>
      <c r="GEG260" s="821"/>
      <c r="GEH260" s="821"/>
      <c r="GEI260" s="821"/>
      <c r="GEJ260" s="821"/>
      <c r="GEK260" s="821"/>
      <c r="GEL260" s="821"/>
      <c r="GEM260" s="821"/>
      <c r="GEN260" s="821"/>
      <c r="GEO260" s="821"/>
      <c r="GEP260" s="821"/>
      <c r="GEQ260" s="575"/>
      <c r="GER260" s="821"/>
      <c r="GES260" s="821"/>
      <c r="GET260" s="821"/>
      <c r="GEU260" s="821"/>
      <c r="GEV260" s="821"/>
      <c r="GEW260" s="821"/>
      <c r="GEX260" s="821"/>
      <c r="GEY260" s="821"/>
      <c r="GEZ260" s="821"/>
      <c r="GFA260" s="821"/>
      <c r="GFB260" s="821"/>
      <c r="GFC260" s="821"/>
      <c r="GFD260" s="821"/>
      <c r="GFE260" s="821"/>
      <c r="GFF260" s="821"/>
      <c r="GFG260" s="821"/>
      <c r="GFH260" s="821"/>
      <c r="GFI260" s="821"/>
      <c r="GFJ260" s="821"/>
      <c r="GFK260" s="575"/>
      <c r="GFL260" s="821"/>
      <c r="GFM260" s="821"/>
      <c r="GFN260" s="821"/>
      <c r="GFO260" s="821"/>
      <c r="GFP260" s="821"/>
      <c r="GFQ260" s="821"/>
      <c r="GFR260" s="821"/>
      <c r="GFS260" s="821"/>
      <c r="GFT260" s="821"/>
      <c r="GFU260" s="821"/>
      <c r="GFV260" s="821"/>
      <c r="GFW260" s="821"/>
      <c r="GFX260" s="821"/>
      <c r="GFY260" s="821"/>
      <c r="GFZ260" s="821"/>
      <c r="GGA260" s="821"/>
      <c r="GGB260" s="821"/>
      <c r="GGC260" s="821"/>
      <c r="GGD260" s="821"/>
      <c r="GGE260" s="575"/>
      <c r="GGF260" s="821"/>
      <c r="GGG260" s="821"/>
      <c r="GGH260" s="821"/>
      <c r="GGI260" s="821"/>
      <c r="GGJ260" s="821"/>
      <c r="GGK260" s="821"/>
      <c r="GGL260" s="821"/>
      <c r="GGM260" s="821"/>
      <c r="GGN260" s="821"/>
      <c r="GGO260" s="821"/>
      <c r="GGP260" s="821"/>
      <c r="GGQ260" s="821"/>
      <c r="GGR260" s="821"/>
      <c r="GGS260" s="821"/>
      <c r="GGT260" s="821"/>
      <c r="GGU260" s="821"/>
      <c r="GGV260" s="821"/>
      <c r="GGW260" s="821"/>
      <c r="GGX260" s="821"/>
      <c r="GGY260" s="575"/>
      <c r="GGZ260" s="821"/>
      <c r="GHA260" s="821"/>
      <c r="GHB260" s="821"/>
      <c r="GHC260" s="821"/>
      <c r="GHD260" s="821"/>
      <c r="GHE260" s="821"/>
      <c r="GHF260" s="821"/>
      <c r="GHG260" s="821"/>
      <c r="GHH260" s="821"/>
      <c r="GHI260" s="821"/>
      <c r="GHJ260" s="821"/>
      <c r="GHK260" s="821"/>
      <c r="GHL260" s="821"/>
      <c r="GHM260" s="821"/>
      <c r="GHN260" s="821"/>
      <c r="GHO260" s="821"/>
      <c r="GHP260" s="821"/>
      <c r="GHQ260" s="821"/>
      <c r="GHR260" s="821"/>
      <c r="GHS260" s="575"/>
      <c r="GHT260" s="821"/>
      <c r="GHU260" s="821"/>
      <c r="GHV260" s="821"/>
      <c r="GHW260" s="821"/>
      <c r="GHX260" s="821"/>
      <c r="GHY260" s="821"/>
      <c r="GHZ260" s="821"/>
      <c r="GIA260" s="821"/>
      <c r="GIB260" s="821"/>
      <c r="GIC260" s="821"/>
      <c r="GID260" s="821"/>
      <c r="GIE260" s="821"/>
      <c r="GIF260" s="821"/>
      <c r="GIG260" s="821"/>
      <c r="GIH260" s="821"/>
      <c r="GII260" s="821"/>
      <c r="GIJ260" s="821"/>
      <c r="GIK260" s="821"/>
      <c r="GIL260" s="821"/>
      <c r="GIM260" s="575"/>
      <c r="GIN260" s="821"/>
      <c r="GIO260" s="821"/>
      <c r="GIP260" s="821"/>
      <c r="GIQ260" s="821"/>
      <c r="GIR260" s="821"/>
      <c r="GIS260" s="821"/>
      <c r="GIT260" s="821"/>
      <c r="GIU260" s="821"/>
      <c r="GIV260" s="821"/>
      <c r="GIW260" s="821"/>
      <c r="GIX260" s="821"/>
      <c r="GIY260" s="821"/>
      <c r="GIZ260" s="821"/>
      <c r="GJA260" s="821"/>
      <c r="GJB260" s="821"/>
      <c r="GJC260" s="821"/>
      <c r="GJD260" s="821"/>
      <c r="GJE260" s="821"/>
      <c r="GJF260" s="821"/>
      <c r="GJG260" s="575"/>
      <c r="GJH260" s="821"/>
      <c r="GJI260" s="821"/>
      <c r="GJJ260" s="821"/>
      <c r="GJK260" s="821"/>
      <c r="GJL260" s="821"/>
      <c r="GJM260" s="821"/>
      <c r="GJN260" s="821"/>
      <c r="GJO260" s="821"/>
      <c r="GJP260" s="821"/>
      <c r="GJQ260" s="821"/>
      <c r="GJR260" s="821"/>
      <c r="GJS260" s="821"/>
      <c r="GJT260" s="821"/>
      <c r="GJU260" s="821"/>
      <c r="GJV260" s="821"/>
      <c r="GJW260" s="821"/>
      <c r="GJX260" s="821"/>
      <c r="GJY260" s="821"/>
      <c r="GJZ260" s="821"/>
      <c r="GKA260" s="575"/>
      <c r="GKB260" s="821"/>
      <c r="GKC260" s="821"/>
      <c r="GKD260" s="821"/>
      <c r="GKE260" s="821"/>
      <c r="GKF260" s="821"/>
      <c r="GKG260" s="821"/>
      <c r="GKH260" s="821"/>
      <c r="GKI260" s="821"/>
      <c r="GKJ260" s="821"/>
      <c r="GKK260" s="821"/>
      <c r="GKL260" s="821"/>
      <c r="GKM260" s="821"/>
      <c r="GKN260" s="821"/>
      <c r="GKO260" s="821"/>
      <c r="GKP260" s="821"/>
      <c r="GKQ260" s="821"/>
      <c r="GKR260" s="821"/>
      <c r="GKS260" s="821"/>
      <c r="GKT260" s="821"/>
      <c r="GKU260" s="575"/>
      <c r="GKV260" s="821"/>
      <c r="GKW260" s="821"/>
      <c r="GKX260" s="821"/>
      <c r="GKY260" s="821"/>
      <c r="GKZ260" s="821"/>
      <c r="GLA260" s="821"/>
      <c r="GLB260" s="821"/>
      <c r="GLC260" s="821"/>
      <c r="GLD260" s="821"/>
      <c r="GLE260" s="821"/>
      <c r="GLF260" s="821"/>
      <c r="GLG260" s="821"/>
      <c r="GLH260" s="821"/>
      <c r="GLI260" s="821"/>
      <c r="GLJ260" s="821"/>
      <c r="GLK260" s="821"/>
      <c r="GLL260" s="821"/>
      <c r="GLM260" s="821"/>
      <c r="GLN260" s="821"/>
      <c r="GLO260" s="575"/>
      <c r="GLP260" s="821"/>
      <c r="GLQ260" s="821"/>
      <c r="GLR260" s="821"/>
      <c r="GLS260" s="821"/>
      <c r="GLT260" s="821"/>
      <c r="GLU260" s="821"/>
      <c r="GLV260" s="821"/>
      <c r="GLW260" s="821"/>
      <c r="GLX260" s="821"/>
      <c r="GLY260" s="821"/>
      <c r="GLZ260" s="821"/>
      <c r="GMA260" s="821"/>
      <c r="GMB260" s="821"/>
      <c r="GMC260" s="821"/>
      <c r="GMD260" s="821"/>
      <c r="GME260" s="821"/>
      <c r="GMF260" s="821"/>
      <c r="GMG260" s="821"/>
      <c r="GMH260" s="821"/>
      <c r="GMI260" s="575"/>
      <c r="GMJ260" s="821"/>
      <c r="GMK260" s="821"/>
      <c r="GML260" s="821"/>
      <c r="GMM260" s="821"/>
      <c r="GMN260" s="821"/>
      <c r="GMO260" s="821"/>
      <c r="GMP260" s="821"/>
      <c r="GMQ260" s="821"/>
      <c r="GMR260" s="821"/>
      <c r="GMS260" s="821"/>
      <c r="GMT260" s="821"/>
      <c r="GMU260" s="821"/>
      <c r="GMV260" s="821"/>
      <c r="GMW260" s="821"/>
      <c r="GMX260" s="821"/>
      <c r="GMY260" s="821"/>
      <c r="GMZ260" s="821"/>
      <c r="GNA260" s="821"/>
      <c r="GNB260" s="821"/>
      <c r="GNC260" s="575"/>
      <c r="GND260" s="821"/>
      <c r="GNE260" s="821"/>
      <c r="GNF260" s="821"/>
      <c r="GNG260" s="821"/>
      <c r="GNH260" s="821"/>
      <c r="GNI260" s="821"/>
      <c r="GNJ260" s="821"/>
      <c r="GNK260" s="821"/>
      <c r="GNL260" s="821"/>
      <c r="GNM260" s="821"/>
      <c r="GNN260" s="821"/>
      <c r="GNO260" s="821"/>
      <c r="GNP260" s="821"/>
      <c r="GNQ260" s="821"/>
      <c r="GNR260" s="821"/>
      <c r="GNS260" s="821"/>
      <c r="GNT260" s="821"/>
      <c r="GNU260" s="821"/>
      <c r="GNV260" s="821"/>
      <c r="GNW260" s="575"/>
      <c r="GNX260" s="821"/>
      <c r="GNY260" s="821"/>
      <c r="GNZ260" s="821"/>
      <c r="GOA260" s="821"/>
      <c r="GOB260" s="821"/>
      <c r="GOC260" s="821"/>
      <c r="GOD260" s="821"/>
      <c r="GOE260" s="821"/>
      <c r="GOF260" s="821"/>
      <c r="GOG260" s="821"/>
      <c r="GOH260" s="821"/>
      <c r="GOI260" s="821"/>
      <c r="GOJ260" s="821"/>
      <c r="GOK260" s="821"/>
      <c r="GOL260" s="821"/>
      <c r="GOM260" s="821"/>
      <c r="GON260" s="821"/>
      <c r="GOO260" s="821"/>
      <c r="GOP260" s="821"/>
      <c r="GOQ260" s="575"/>
      <c r="GOR260" s="821"/>
      <c r="GOS260" s="821"/>
      <c r="GOT260" s="821"/>
      <c r="GOU260" s="821"/>
      <c r="GOV260" s="821"/>
      <c r="GOW260" s="821"/>
      <c r="GOX260" s="821"/>
      <c r="GOY260" s="821"/>
      <c r="GOZ260" s="821"/>
      <c r="GPA260" s="821"/>
      <c r="GPB260" s="821"/>
      <c r="GPC260" s="821"/>
      <c r="GPD260" s="821"/>
      <c r="GPE260" s="821"/>
      <c r="GPF260" s="821"/>
      <c r="GPG260" s="821"/>
      <c r="GPH260" s="821"/>
      <c r="GPI260" s="821"/>
      <c r="GPJ260" s="821"/>
      <c r="GPK260" s="575"/>
      <c r="GPL260" s="821"/>
      <c r="GPM260" s="821"/>
      <c r="GPN260" s="821"/>
      <c r="GPO260" s="821"/>
      <c r="GPP260" s="821"/>
      <c r="GPQ260" s="821"/>
      <c r="GPR260" s="821"/>
      <c r="GPS260" s="821"/>
      <c r="GPT260" s="821"/>
      <c r="GPU260" s="821"/>
      <c r="GPV260" s="821"/>
      <c r="GPW260" s="821"/>
      <c r="GPX260" s="821"/>
      <c r="GPY260" s="821"/>
      <c r="GPZ260" s="821"/>
      <c r="GQA260" s="821"/>
      <c r="GQB260" s="821"/>
      <c r="GQC260" s="821"/>
      <c r="GQD260" s="821"/>
      <c r="GQE260" s="575"/>
      <c r="GQF260" s="821"/>
      <c r="GQG260" s="821"/>
      <c r="GQH260" s="821"/>
      <c r="GQI260" s="821"/>
      <c r="GQJ260" s="821"/>
      <c r="GQK260" s="821"/>
      <c r="GQL260" s="821"/>
      <c r="GQM260" s="821"/>
      <c r="GQN260" s="821"/>
      <c r="GQO260" s="821"/>
      <c r="GQP260" s="821"/>
      <c r="GQQ260" s="821"/>
      <c r="GQR260" s="821"/>
      <c r="GQS260" s="821"/>
      <c r="GQT260" s="821"/>
      <c r="GQU260" s="821"/>
      <c r="GQV260" s="821"/>
      <c r="GQW260" s="821"/>
      <c r="GQX260" s="821"/>
      <c r="GQY260" s="575"/>
      <c r="GQZ260" s="821"/>
      <c r="GRA260" s="821"/>
      <c r="GRB260" s="821"/>
      <c r="GRC260" s="821"/>
      <c r="GRD260" s="821"/>
      <c r="GRE260" s="821"/>
      <c r="GRF260" s="821"/>
      <c r="GRG260" s="821"/>
      <c r="GRH260" s="821"/>
      <c r="GRI260" s="821"/>
      <c r="GRJ260" s="821"/>
      <c r="GRK260" s="821"/>
      <c r="GRL260" s="821"/>
      <c r="GRM260" s="821"/>
      <c r="GRN260" s="821"/>
      <c r="GRO260" s="821"/>
      <c r="GRP260" s="821"/>
      <c r="GRQ260" s="821"/>
      <c r="GRR260" s="821"/>
      <c r="GRS260" s="575"/>
      <c r="GRT260" s="821"/>
      <c r="GRU260" s="821"/>
      <c r="GRV260" s="821"/>
      <c r="GRW260" s="821"/>
      <c r="GRX260" s="821"/>
      <c r="GRY260" s="821"/>
      <c r="GRZ260" s="821"/>
      <c r="GSA260" s="821"/>
      <c r="GSB260" s="821"/>
      <c r="GSC260" s="821"/>
      <c r="GSD260" s="821"/>
      <c r="GSE260" s="821"/>
      <c r="GSF260" s="821"/>
      <c r="GSG260" s="821"/>
      <c r="GSH260" s="821"/>
      <c r="GSI260" s="821"/>
      <c r="GSJ260" s="821"/>
      <c r="GSK260" s="821"/>
      <c r="GSL260" s="821"/>
      <c r="GSM260" s="575"/>
      <c r="GSN260" s="821"/>
      <c r="GSO260" s="821"/>
      <c r="GSP260" s="821"/>
      <c r="GSQ260" s="821"/>
      <c r="GSR260" s="821"/>
      <c r="GSS260" s="821"/>
      <c r="GST260" s="821"/>
      <c r="GSU260" s="821"/>
      <c r="GSV260" s="821"/>
      <c r="GSW260" s="821"/>
      <c r="GSX260" s="821"/>
      <c r="GSY260" s="821"/>
      <c r="GSZ260" s="821"/>
      <c r="GTA260" s="821"/>
      <c r="GTB260" s="821"/>
      <c r="GTC260" s="821"/>
      <c r="GTD260" s="821"/>
      <c r="GTE260" s="821"/>
      <c r="GTF260" s="821"/>
      <c r="GTG260" s="575"/>
      <c r="GTH260" s="821"/>
      <c r="GTI260" s="821"/>
      <c r="GTJ260" s="821"/>
      <c r="GTK260" s="821"/>
      <c r="GTL260" s="821"/>
      <c r="GTM260" s="821"/>
      <c r="GTN260" s="821"/>
      <c r="GTO260" s="821"/>
      <c r="GTP260" s="821"/>
      <c r="GTQ260" s="821"/>
      <c r="GTR260" s="821"/>
      <c r="GTS260" s="821"/>
      <c r="GTT260" s="821"/>
      <c r="GTU260" s="821"/>
      <c r="GTV260" s="821"/>
      <c r="GTW260" s="821"/>
      <c r="GTX260" s="821"/>
      <c r="GTY260" s="821"/>
      <c r="GTZ260" s="821"/>
      <c r="GUA260" s="575"/>
      <c r="GUB260" s="821"/>
      <c r="GUC260" s="821"/>
      <c r="GUD260" s="821"/>
      <c r="GUE260" s="821"/>
      <c r="GUF260" s="821"/>
      <c r="GUG260" s="821"/>
      <c r="GUH260" s="821"/>
      <c r="GUI260" s="821"/>
      <c r="GUJ260" s="821"/>
      <c r="GUK260" s="821"/>
      <c r="GUL260" s="821"/>
      <c r="GUM260" s="821"/>
      <c r="GUN260" s="821"/>
      <c r="GUO260" s="821"/>
      <c r="GUP260" s="821"/>
      <c r="GUQ260" s="821"/>
      <c r="GUR260" s="821"/>
      <c r="GUS260" s="821"/>
      <c r="GUT260" s="821"/>
      <c r="GUU260" s="575"/>
      <c r="GUV260" s="821"/>
      <c r="GUW260" s="821"/>
      <c r="GUX260" s="821"/>
      <c r="GUY260" s="821"/>
      <c r="GUZ260" s="821"/>
      <c r="GVA260" s="821"/>
      <c r="GVB260" s="821"/>
      <c r="GVC260" s="821"/>
      <c r="GVD260" s="821"/>
      <c r="GVE260" s="821"/>
      <c r="GVF260" s="821"/>
      <c r="GVG260" s="821"/>
      <c r="GVH260" s="821"/>
      <c r="GVI260" s="821"/>
      <c r="GVJ260" s="821"/>
      <c r="GVK260" s="821"/>
      <c r="GVL260" s="821"/>
      <c r="GVM260" s="821"/>
      <c r="GVN260" s="821"/>
      <c r="GVO260" s="575"/>
      <c r="GVP260" s="821"/>
      <c r="GVQ260" s="821"/>
      <c r="GVR260" s="821"/>
      <c r="GVS260" s="821"/>
      <c r="GVT260" s="821"/>
      <c r="GVU260" s="821"/>
      <c r="GVV260" s="821"/>
      <c r="GVW260" s="821"/>
      <c r="GVX260" s="821"/>
      <c r="GVY260" s="821"/>
      <c r="GVZ260" s="821"/>
      <c r="GWA260" s="821"/>
      <c r="GWB260" s="821"/>
      <c r="GWC260" s="821"/>
      <c r="GWD260" s="821"/>
      <c r="GWE260" s="821"/>
      <c r="GWF260" s="821"/>
      <c r="GWG260" s="821"/>
      <c r="GWH260" s="821"/>
      <c r="GWI260" s="575"/>
      <c r="GWJ260" s="821"/>
      <c r="GWK260" s="821"/>
      <c r="GWL260" s="821"/>
      <c r="GWM260" s="821"/>
      <c r="GWN260" s="821"/>
      <c r="GWO260" s="821"/>
      <c r="GWP260" s="821"/>
      <c r="GWQ260" s="821"/>
      <c r="GWR260" s="821"/>
      <c r="GWS260" s="821"/>
      <c r="GWT260" s="821"/>
      <c r="GWU260" s="821"/>
      <c r="GWV260" s="821"/>
      <c r="GWW260" s="821"/>
      <c r="GWX260" s="821"/>
      <c r="GWY260" s="821"/>
      <c r="GWZ260" s="821"/>
      <c r="GXA260" s="821"/>
      <c r="GXB260" s="821"/>
      <c r="GXC260" s="575"/>
      <c r="GXD260" s="821"/>
      <c r="GXE260" s="821"/>
      <c r="GXF260" s="821"/>
      <c r="GXG260" s="821"/>
      <c r="GXH260" s="821"/>
      <c r="GXI260" s="821"/>
      <c r="GXJ260" s="821"/>
      <c r="GXK260" s="821"/>
      <c r="GXL260" s="821"/>
      <c r="GXM260" s="821"/>
      <c r="GXN260" s="821"/>
      <c r="GXO260" s="821"/>
      <c r="GXP260" s="821"/>
      <c r="GXQ260" s="821"/>
      <c r="GXR260" s="821"/>
      <c r="GXS260" s="821"/>
      <c r="GXT260" s="821"/>
      <c r="GXU260" s="821"/>
      <c r="GXV260" s="821"/>
      <c r="GXW260" s="575"/>
      <c r="GXX260" s="821"/>
      <c r="GXY260" s="821"/>
      <c r="GXZ260" s="821"/>
      <c r="GYA260" s="821"/>
      <c r="GYB260" s="821"/>
      <c r="GYC260" s="821"/>
      <c r="GYD260" s="821"/>
      <c r="GYE260" s="821"/>
      <c r="GYF260" s="821"/>
      <c r="GYG260" s="821"/>
      <c r="GYH260" s="821"/>
      <c r="GYI260" s="821"/>
      <c r="GYJ260" s="821"/>
      <c r="GYK260" s="821"/>
      <c r="GYL260" s="821"/>
      <c r="GYM260" s="821"/>
      <c r="GYN260" s="821"/>
      <c r="GYO260" s="821"/>
      <c r="GYP260" s="821"/>
      <c r="GYQ260" s="575"/>
      <c r="GYR260" s="821"/>
      <c r="GYS260" s="821"/>
      <c r="GYT260" s="821"/>
      <c r="GYU260" s="821"/>
      <c r="GYV260" s="821"/>
      <c r="GYW260" s="821"/>
      <c r="GYX260" s="821"/>
      <c r="GYY260" s="821"/>
      <c r="GYZ260" s="821"/>
      <c r="GZA260" s="821"/>
      <c r="GZB260" s="821"/>
      <c r="GZC260" s="821"/>
      <c r="GZD260" s="821"/>
      <c r="GZE260" s="821"/>
      <c r="GZF260" s="821"/>
      <c r="GZG260" s="821"/>
      <c r="GZH260" s="821"/>
      <c r="GZI260" s="821"/>
      <c r="GZJ260" s="821"/>
      <c r="GZK260" s="575"/>
      <c r="GZL260" s="821"/>
      <c r="GZM260" s="821"/>
      <c r="GZN260" s="821"/>
      <c r="GZO260" s="821"/>
      <c r="GZP260" s="821"/>
      <c r="GZQ260" s="821"/>
      <c r="GZR260" s="821"/>
      <c r="GZS260" s="821"/>
      <c r="GZT260" s="821"/>
      <c r="GZU260" s="821"/>
      <c r="GZV260" s="821"/>
      <c r="GZW260" s="821"/>
      <c r="GZX260" s="821"/>
      <c r="GZY260" s="821"/>
      <c r="GZZ260" s="821"/>
      <c r="HAA260" s="821"/>
      <c r="HAB260" s="821"/>
      <c r="HAC260" s="821"/>
      <c r="HAD260" s="821"/>
      <c r="HAE260" s="575"/>
      <c r="HAF260" s="821"/>
      <c r="HAG260" s="821"/>
      <c r="HAH260" s="821"/>
      <c r="HAI260" s="821"/>
      <c r="HAJ260" s="821"/>
      <c r="HAK260" s="821"/>
      <c r="HAL260" s="821"/>
      <c r="HAM260" s="821"/>
      <c r="HAN260" s="821"/>
      <c r="HAO260" s="821"/>
      <c r="HAP260" s="821"/>
      <c r="HAQ260" s="821"/>
      <c r="HAR260" s="821"/>
      <c r="HAS260" s="821"/>
      <c r="HAT260" s="821"/>
      <c r="HAU260" s="821"/>
      <c r="HAV260" s="821"/>
      <c r="HAW260" s="821"/>
      <c r="HAX260" s="821"/>
      <c r="HAY260" s="575"/>
      <c r="HAZ260" s="821"/>
      <c r="HBA260" s="821"/>
      <c r="HBB260" s="821"/>
      <c r="HBC260" s="821"/>
      <c r="HBD260" s="821"/>
      <c r="HBE260" s="821"/>
      <c r="HBF260" s="821"/>
      <c r="HBG260" s="821"/>
      <c r="HBH260" s="821"/>
      <c r="HBI260" s="821"/>
      <c r="HBJ260" s="821"/>
      <c r="HBK260" s="821"/>
      <c r="HBL260" s="821"/>
      <c r="HBM260" s="821"/>
      <c r="HBN260" s="821"/>
      <c r="HBO260" s="821"/>
      <c r="HBP260" s="821"/>
      <c r="HBQ260" s="821"/>
      <c r="HBR260" s="821"/>
      <c r="HBS260" s="575"/>
      <c r="HBT260" s="821"/>
      <c r="HBU260" s="821"/>
      <c r="HBV260" s="821"/>
      <c r="HBW260" s="821"/>
      <c r="HBX260" s="821"/>
      <c r="HBY260" s="821"/>
      <c r="HBZ260" s="821"/>
      <c r="HCA260" s="821"/>
      <c r="HCB260" s="821"/>
      <c r="HCC260" s="821"/>
      <c r="HCD260" s="821"/>
      <c r="HCE260" s="821"/>
      <c r="HCF260" s="821"/>
      <c r="HCG260" s="821"/>
      <c r="HCH260" s="821"/>
      <c r="HCI260" s="821"/>
      <c r="HCJ260" s="821"/>
      <c r="HCK260" s="821"/>
      <c r="HCL260" s="821"/>
      <c r="HCM260" s="575"/>
      <c r="HCN260" s="821"/>
      <c r="HCO260" s="821"/>
      <c r="HCP260" s="821"/>
      <c r="HCQ260" s="821"/>
      <c r="HCR260" s="821"/>
      <c r="HCS260" s="821"/>
      <c r="HCT260" s="821"/>
      <c r="HCU260" s="821"/>
      <c r="HCV260" s="821"/>
      <c r="HCW260" s="821"/>
      <c r="HCX260" s="821"/>
      <c r="HCY260" s="821"/>
      <c r="HCZ260" s="821"/>
      <c r="HDA260" s="821"/>
      <c r="HDB260" s="821"/>
      <c r="HDC260" s="821"/>
      <c r="HDD260" s="821"/>
      <c r="HDE260" s="821"/>
      <c r="HDF260" s="821"/>
      <c r="HDG260" s="575"/>
      <c r="HDH260" s="821"/>
      <c r="HDI260" s="821"/>
      <c r="HDJ260" s="821"/>
      <c r="HDK260" s="821"/>
      <c r="HDL260" s="821"/>
      <c r="HDM260" s="821"/>
      <c r="HDN260" s="821"/>
      <c r="HDO260" s="821"/>
      <c r="HDP260" s="821"/>
      <c r="HDQ260" s="821"/>
      <c r="HDR260" s="821"/>
      <c r="HDS260" s="821"/>
      <c r="HDT260" s="821"/>
      <c r="HDU260" s="821"/>
      <c r="HDV260" s="821"/>
      <c r="HDW260" s="821"/>
      <c r="HDX260" s="821"/>
      <c r="HDY260" s="821"/>
      <c r="HDZ260" s="821"/>
      <c r="HEA260" s="575"/>
      <c r="HEB260" s="821"/>
      <c r="HEC260" s="821"/>
      <c r="HED260" s="821"/>
      <c r="HEE260" s="821"/>
      <c r="HEF260" s="821"/>
      <c r="HEG260" s="821"/>
      <c r="HEH260" s="821"/>
      <c r="HEI260" s="821"/>
      <c r="HEJ260" s="821"/>
      <c r="HEK260" s="821"/>
      <c r="HEL260" s="821"/>
      <c r="HEM260" s="821"/>
      <c r="HEN260" s="821"/>
      <c r="HEO260" s="821"/>
      <c r="HEP260" s="821"/>
      <c r="HEQ260" s="821"/>
      <c r="HER260" s="821"/>
      <c r="HES260" s="821"/>
      <c r="HET260" s="821"/>
      <c r="HEU260" s="575"/>
      <c r="HEV260" s="821"/>
      <c r="HEW260" s="821"/>
      <c r="HEX260" s="821"/>
      <c r="HEY260" s="821"/>
      <c r="HEZ260" s="821"/>
      <c r="HFA260" s="821"/>
      <c r="HFB260" s="821"/>
      <c r="HFC260" s="821"/>
      <c r="HFD260" s="821"/>
      <c r="HFE260" s="821"/>
      <c r="HFF260" s="821"/>
      <c r="HFG260" s="821"/>
      <c r="HFH260" s="821"/>
      <c r="HFI260" s="821"/>
      <c r="HFJ260" s="821"/>
      <c r="HFK260" s="821"/>
      <c r="HFL260" s="821"/>
      <c r="HFM260" s="821"/>
      <c r="HFN260" s="821"/>
      <c r="HFO260" s="575"/>
      <c r="HFP260" s="821"/>
      <c r="HFQ260" s="821"/>
      <c r="HFR260" s="821"/>
      <c r="HFS260" s="821"/>
      <c r="HFT260" s="821"/>
      <c r="HFU260" s="821"/>
      <c r="HFV260" s="821"/>
      <c r="HFW260" s="821"/>
      <c r="HFX260" s="821"/>
      <c r="HFY260" s="821"/>
      <c r="HFZ260" s="821"/>
      <c r="HGA260" s="821"/>
      <c r="HGB260" s="821"/>
      <c r="HGC260" s="821"/>
      <c r="HGD260" s="821"/>
      <c r="HGE260" s="821"/>
      <c r="HGF260" s="821"/>
      <c r="HGG260" s="821"/>
      <c r="HGH260" s="821"/>
      <c r="HGI260" s="575"/>
      <c r="HGJ260" s="821"/>
      <c r="HGK260" s="821"/>
      <c r="HGL260" s="821"/>
      <c r="HGM260" s="821"/>
      <c r="HGN260" s="821"/>
      <c r="HGO260" s="821"/>
      <c r="HGP260" s="821"/>
      <c r="HGQ260" s="821"/>
      <c r="HGR260" s="821"/>
      <c r="HGS260" s="821"/>
      <c r="HGT260" s="821"/>
      <c r="HGU260" s="821"/>
      <c r="HGV260" s="821"/>
      <c r="HGW260" s="821"/>
      <c r="HGX260" s="821"/>
      <c r="HGY260" s="821"/>
      <c r="HGZ260" s="821"/>
      <c r="HHA260" s="821"/>
      <c r="HHB260" s="821"/>
      <c r="HHC260" s="575"/>
      <c r="HHD260" s="821"/>
      <c r="HHE260" s="821"/>
      <c r="HHF260" s="821"/>
      <c r="HHG260" s="821"/>
      <c r="HHH260" s="821"/>
      <c r="HHI260" s="821"/>
      <c r="HHJ260" s="821"/>
      <c r="HHK260" s="821"/>
      <c r="HHL260" s="821"/>
      <c r="HHM260" s="821"/>
      <c r="HHN260" s="821"/>
      <c r="HHO260" s="821"/>
      <c r="HHP260" s="821"/>
      <c r="HHQ260" s="821"/>
      <c r="HHR260" s="821"/>
      <c r="HHS260" s="821"/>
      <c r="HHT260" s="821"/>
      <c r="HHU260" s="821"/>
      <c r="HHV260" s="821"/>
      <c r="HHW260" s="575"/>
      <c r="HHX260" s="821"/>
      <c r="HHY260" s="821"/>
      <c r="HHZ260" s="821"/>
      <c r="HIA260" s="821"/>
      <c r="HIB260" s="821"/>
      <c r="HIC260" s="821"/>
      <c r="HID260" s="821"/>
      <c r="HIE260" s="821"/>
      <c r="HIF260" s="821"/>
      <c r="HIG260" s="821"/>
      <c r="HIH260" s="821"/>
      <c r="HII260" s="821"/>
      <c r="HIJ260" s="821"/>
      <c r="HIK260" s="821"/>
      <c r="HIL260" s="821"/>
      <c r="HIM260" s="821"/>
      <c r="HIN260" s="821"/>
      <c r="HIO260" s="821"/>
      <c r="HIP260" s="821"/>
      <c r="HIQ260" s="575"/>
      <c r="HIR260" s="821"/>
      <c r="HIS260" s="821"/>
      <c r="HIT260" s="821"/>
      <c r="HIU260" s="821"/>
      <c r="HIV260" s="821"/>
      <c r="HIW260" s="821"/>
      <c r="HIX260" s="821"/>
      <c r="HIY260" s="821"/>
      <c r="HIZ260" s="821"/>
      <c r="HJA260" s="821"/>
      <c r="HJB260" s="821"/>
      <c r="HJC260" s="821"/>
      <c r="HJD260" s="821"/>
      <c r="HJE260" s="821"/>
      <c r="HJF260" s="821"/>
      <c r="HJG260" s="821"/>
      <c r="HJH260" s="821"/>
      <c r="HJI260" s="821"/>
      <c r="HJJ260" s="821"/>
      <c r="HJK260" s="575"/>
      <c r="HJL260" s="821"/>
      <c r="HJM260" s="821"/>
      <c r="HJN260" s="821"/>
      <c r="HJO260" s="821"/>
      <c r="HJP260" s="821"/>
      <c r="HJQ260" s="821"/>
      <c r="HJR260" s="821"/>
      <c r="HJS260" s="821"/>
      <c r="HJT260" s="821"/>
      <c r="HJU260" s="821"/>
      <c r="HJV260" s="821"/>
      <c r="HJW260" s="821"/>
      <c r="HJX260" s="821"/>
      <c r="HJY260" s="821"/>
      <c r="HJZ260" s="821"/>
      <c r="HKA260" s="821"/>
      <c r="HKB260" s="821"/>
      <c r="HKC260" s="821"/>
      <c r="HKD260" s="821"/>
      <c r="HKE260" s="575"/>
      <c r="HKF260" s="821"/>
      <c r="HKG260" s="821"/>
      <c r="HKH260" s="821"/>
      <c r="HKI260" s="821"/>
      <c r="HKJ260" s="821"/>
      <c r="HKK260" s="821"/>
      <c r="HKL260" s="821"/>
      <c r="HKM260" s="821"/>
      <c r="HKN260" s="821"/>
      <c r="HKO260" s="821"/>
      <c r="HKP260" s="821"/>
      <c r="HKQ260" s="821"/>
      <c r="HKR260" s="821"/>
      <c r="HKS260" s="821"/>
      <c r="HKT260" s="821"/>
      <c r="HKU260" s="821"/>
      <c r="HKV260" s="821"/>
      <c r="HKW260" s="821"/>
      <c r="HKX260" s="821"/>
      <c r="HKY260" s="575"/>
      <c r="HKZ260" s="821"/>
      <c r="HLA260" s="821"/>
      <c r="HLB260" s="821"/>
      <c r="HLC260" s="821"/>
      <c r="HLD260" s="821"/>
      <c r="HLE260" s="821"/>
      <c r="HLF260" s="821"/>
      <c r="HLG260" s="821"/>
      <c r="HLH260" s="821"/>
      <c r="HLI260" s="821"/>
      <c r="HLJ260" s="821"/>
      <c r="HLK260" s="821"/>
      <c r="HLL260" s="821"/>
      <c r="HLM260" s="821"/>
      <c r="HLN260" s="821"/>
      <c r="HLO260" s="821"/>
      <c r="HLP260" s="821"/>
      <c r="HLQ260" s="821"/>
      <c r="HLR260" s="821"/>
      <c r="HLS260" s="575"/>
      <c r="HLT260" s="821"/>
      <c r="HLU260" s="821"/>
      <c r="HLV260" s="821"/>
      <c r="HLW260" s="821"/>
      <c r="HLX260" s="821"/>
      <c r="HLY260" s="821"/>
      <c r="HLZ260" s="821"/>
      <c r="HMA260" s="821"/>
      <c r="HMB260" s="821"/>
      <c r="HMC260" s="821"/>
      <c r="HMD260" s="821"/>
      <c r="HME260" s="821"/>
      <c r="HMF260" s="821"/>
      <c r="HMG260" s="821"/>
      <c r="HMH260" s="821"/>
      <c r="HMI260" s="821"/>
      <c r="HMJ260" s="821"/>
      <c r="HMK260" s="821"/>
      <c r="HML260" s="821"/>
      <c r="HMM260" s="575"/>
      <c r="HMN260" s="821"/>
      <c r="HMO260" s="821"/>
      <c r="HMP260" s="821"/>
      <c r="HMQ260" s="821"/>
      <c r="HMR260" s="821"/>
      <c r="HMS260" s="821"/>
      <c r="HMT260" s="821"/>
      <c r="HMU260" s="821"/>
      <c r="HMV260" s="821"/>
      <c r="HMW260" s="821"/>
      <c r="HMX260" s="821"/>
      <c r="HMY260" s="821"/>
      <c r="HMZ260" s="821"/>
      <c r="HNA260" s="821"/>
      <c r="HNB260" s="821"/>
      <c r="HNC260" s="821"/>
      <c r="HND260" s="821"/>
      <c r="HNE260" s="821"/>
      <c r="HNF260" s="821"/>
      <c r="HNG260" s="575"/>
      <c r="HNH260" s="821"/>
      <c r="HNI260" s="821"/>
      <c r="HNJ260" s="821"/>
      <c r="HNK260" s="821"/>
      <c r="HNL260" s="821"/>
      <c r="HNM260" s="821"/>
      <c r="HNN260" s="821"/>
      <c r="HNO260" s="821"/>
      <c r="HNP260" s="821"/>
      <c r="HNQ260" s="821"/>
      <c r="HNR260" s="821"/>
      <c r="HNS260" s="821"/>
      <c r="HNT260" s="821"/>
      <c r="HNU260" s="821"/>
      <c r="HNV260" s="821"/>
      <c r="HNW260" s="821"/>
      <c r="HNX260" s="821"/>
      <c r="HNY260" s="821"/>
      <c r="HNZ260" s="821"/>
      <c r="HOA260" s="575"/>
      <c r="HOB260" s="821"/>
      <c r="HOC260" s="821"/>
      <c r="HOD260" s="821"/>
      <c r="HOE260" s="821"/>
      <c r="HOF260" s="821"/>
      <c r="HOG260" s="821"/>
      <c r="HOH260" s="821"/>
      <c r="HOI260" s="821"/>
      <c r="HOJ260" s="821"/>
      <c r="HOK260" s="821"/>
      <c r="HOL260" s="821"/>
      <c r="HOM260" s="821"/>
      <c r="HON260" s="821"/>
      <c r="HOO260" s="821"/>
      <c r="HOP260" s="821"/>
      <c r="HOQ260" s="821"/>
      <c r="HOR260" s="821"/>
      <c r="HOS260" s="821"/>
      <c r="HOT260" s="821"/>
      <c r="HOU260" s="575"/>
      <c r="HOV260" s="821"/>
      <c r="HOW260" s="821"/>
      <c r="HOX260" s="821"/>
      <c r="HOY260" s="821"/>
      <c r="HOZ260" s="821"/>
      <c r="HPA260" s="821"/>
      <c r="HPB260" s="821"/>
      <c r="HPC260" s="821"/>
      <c r="HPD260" s="821"/>
      <c r="HPE260" s="821"/>
      <c r="HPF260" s="821"/>
      <c r="HPG260" s="821"/>
      <c r="HPH260" s="821"/>
      <c r="HPI260" s="821"/>
      <c r="HPJ260" s="821"/>
      <c r="HPK260" s="821"/>
      <c r="HPL260" s="821"/>
      <c r="HPM260" s="821"/>
      <c r="HPN260" s="821"/>
      <c r="HPO260" s="575"/>
      <c r="HPP260" s="821"/>
      <c r="HPQ260" s="821"/>
      <c r="HPR260" s="821"/>
      <c r="HPS260" s="821"/>
      <c r="HPT260" s="821"/>
      <c r="HPU260" s="821"/>
      <c r="HPV260" s="821"/>
      <c r="HPW260" s="821"/>
      <c r="HPX260" s="821"/>
      <c r="HPY260" s="821"/>
      <c r="HPZ260" s="821"/>
      <c r="HQA260" s="821"/>
      <c r="HQB260" s="821"/>
      <c r="HQC260" s="821"/>
      <c r="HQD260" s="821"/>
      <c r="HQE260" s="821"/>
      <c r="HQF260" s="821"/>
      <c r="HQG260" s="821"/>
      <c r="HQH260" s="821"/>
      <c r="HQI260" s="575"/>
      <c r="HQJ260" s="821"/>
      <c r="HQK260" s="821"/>
      <c r="HQL260" s="821"/>
      <c r="HQM260" s="821"/>
      <c r="HQN260" s="821"/>
      <c r="HQO260" s="821"/>
      <c r="HQP260" s="821"/>
      <c r="HQQ260" s="821"/>
      <c r="HQR260" s="821"/>
      <c r="HQS260" s="821"/>
      <c r="HQT260" s="821"/>
      <c r="HQU260" s="821"/>
      <c r="HQV260" s="821"/>
      <c r="HQW260" s="821"/>
      <c r="HQX260" s="821"/>
      <c r="HQY260" s="821"/>
      <c r="HQZ260" s="821"/>
      <c r="HRA260" s="821"/>
      <c r="HRB260" s="821"/>
      <c r="HRC260" s="575"/>
      <c r="HRD260" s="821"/>
      <c r="HRE260" s="821"/>
      <c r="HRF260" s="821"/>
      <c r="HRG260" s="821"/>
      <c r="HRH260" s="821"/>
      <c r="HRI260" s="821"/>
      <c r="HRJ260" s="821"/>
      <c r="HRK260" s="821"/>
      <c r="HRL260" s="821"/>
      <c r="HRM260" s="821"/>
      <c r="HRN260" s="821"/>
      <c r="HRO260" s="821"/>
      <c r="HRP260" s="821"/>
      <c r="HRQ260" s="821"/>
      <c r="HRR260" s="821"/>
      <c r="HRS260" s="821"/>
      <c r="HRT260" s="821"/>
      <c r="HRU260" s="821"/>
      <c r="HRV260" s="821"/>
      <c r="HRW260" s="575"/>
      <c r="HRX260" s="821"/>
      <c r="HRY260" s="821"/>
      <c r="HRZ260" s="821"/>
      <c r="HSA260" s="821"/>
      <c r="HSB260" s="821"/>
      <c r="HSC260" s="821"/>
      <c r="HSD260" s="821"/>
      <c r="HSE260" s="821"/>
      <c r="HSF260" s="821"/>
      <c r="HSG260" s="821"/>
      <c r="HSH260" s="821"/>
      <c r="HSI260" s="821"/>
      <c r="HSJ260" s="821"/>
      <c r="HSK260" s="821"/>
      <c r="HSL260" s="821"/>
      <c r="HSM260" s="821"/>
      <c r="HSN260" s="821"/>
      <c r="HSO260" s="821"/>
      <c r="HSP260" s="821"/>
      <c r="HSQ260" s="575"/>
      <c r="HSR260" s="821"/>
      <c r="HSS260" s="821"/>
      <c r="HST260" s="821"/>
      <c r="HSU260" s="821"/>
      <c r="HSV260" s="821"/>
      <c r="HSW260" s="821"/>
      <c r="HSX260" s="821"/>
      <c r="HSY260" s="821"/>
      <c r="HSZ260" s="821"/>
      <c r="HTA260" s="821"/>
      <c r="HTB260" s="821"/>
      <c r="HTC260" s="821"/>
      <c r="HTD260" s="821"/>
      <c r="HTE260" s="821"/>
      <c r="HTF260" s="821"/>
      <c r="HTG260" s="821"/>
      <c r="HTH260" s="821"/>
      <c r="HTI260" s="821"/>
      <c r="HTJ260" s="821"/>
      <c r="HTK260" s="575"/>
      <c r="HTL260" s="821"/>
      <c r="HTM260" s="821"/>
      <c r="HTN260" s="821"/>
      <c r="HTO260" s="821"/>
      <c r="HTP260" s="821"/>
      <c r="HTQ260" s="821"/>
      <c r="HTR260" s="821"/>
      <c r="HTS260" s="821"/>
      <c r="HTT260" s="821"/>
      <c r="HTU260" s="821"/>
      <c r="HTV260" s="821"/>
      <c r="HTW260" s="821"/>
      <c r="HTX260" s="821"/>
      <c r="HTY260" s="821"/>
      <c r="HTZ260" s="821"/>
      <c r="HUA260" s="821"/>
      <c r="HUB260" s="821"/>
      <c r="HUC260" s="821"/>
      <c r="HUD260" s="821"/>
      <c r="HUE260" s="575"/>
      <c r="HUF260" s="821"/>
      <c r="HUG260" s="821"/>
      <c r="HUH260" s="821"/>
      <c r="HUI260" s="821"/>
      <c r="HUJ260" s="821"/>
      <c r="HUK260" s="821"/>
      <c r="HUL260" s="821"/>
      <c r="HUM260" s="821"/>
      <c r="HUN260" s="821"/>
      <c r="HUO260" s="821"/>
      <c r="HUP260" s="821"/>
      <c r="HUQ260" s="821"/>
      <c r="HUR260" s="821"/>
      <c r="HUS260" s="821"/>
      <c r="HUT260" s="821"/>
      <c r="HUU260" s="821"/>
      <c r="HUV260" s="821"/>
      <c r="HUW260" s="821"/>
      <c r="HUX260" s="821"/>
      <c r="HUY260" s="575"/>
      <c r="HUZ260" s="821"/>
      <c r="HVA260" s="821"/>
      <c r="HVB260" s="821"/>
      <c r="HVC260" s="821"/>
      <c r="HVD260" s="821"/>
      <c r="HVE260" s="821"/>
      <c r="HVF260" s="821"/>
      <c r="HVG260" s="821"/>
      <c r="HVH260" s="821"/>
      <c r="HVI260" s="821"/>
      <c r="HVJ260" s="821"/>
      <c r="HVK260" s="821"/>
      <c r="HVL260" s="821"/>
      <c r="HVM260" s="821"/>
      <c r="HVN260" s="821"/>
      <c r="HVO260" s="821"/>
      <c r="HVP260" s="821"/>
      <c r="HVQ260" s="821"/>
      <c r="HVR260" s="821"/>
      <c r="HVS260" s="575"/>
      <c r="HVT260" s="821"/>
      <c r="HVU260" s="821"/>
      <c r="HVV260" s="821"/>
      <c r="HVW260" s="821"/>
      <c r="HVX260" s="821"/>
      <c r="HVY260" s="821"/>
      <c r="HVZ260" s="821"/>
      <c r="HWA260" s="821"/>
      <c r="HWB260" s="821"/>
      <c r="HWC260" s="821"/>
      <c r="HWD260" s="821"/>
      <c r="HWE260" s="821"/>
      <c r="HWF260" s="821"/>
      <c r="HWG260" s="821"/>
      <c r="HWH260" s="821"/>
      <c r="HWI260" s="821"/>
      <c r="HWJ260" s="821"/>
      <c r="HWK260" s="821"/>
      <c r="HWL260" s="821"/>
      <c r="HWM260" s="575"/>
      <c r="HWN260" s="821"/>
      <c r="HWO260" s="821"/>
      <c r="HWP260" s="821"/>
      <c r="HWQ260" s="821"/>
      <c r="HWR260" s="821"/>
      <c r="HWS260" s="821"/>
      <c r="HWT260" s="821"/>
      <c r="HWU260" s="821"/>
      <c r="HWV260" s="821"/>
      <c r="HWW260" s="821"/>
      <c r="HWX260" s="821"/>
      <c r="HWY260" s="821"/>
      <c r="HWZ260" s="821"/>
      <c r="HXA260" s="821"/>
      <c r="HXB260" s="821"/>
      <c r="HXC260" s="821"/>
      <c r="HXD260" s="821"/>
      <c r="HXE260" s="821"/>
      <c r="HXF260" s="821"/>
      <c r="HXG260" s="575"/>
      <c r="HXH260" s="821"/>
      <c r="HXI260" s="821"/>
      <c r="HXJ260" s="821"/>
      <c r="HXK260" s="821"/>
      <c r="HXL260" s="821"/>
      <c r="HXM260" s="821"/>
      <c r="HXN260" s="821"/>
      <c r="HXO260" s="821"/>
      <c r="HXP260" s="821"/>
      <c r="HXQ260" s="821"/>
      <c r="HXR260" s="821"/>
      <c r="HXS260" s="821"/>
      <c r="HXT260" s="821"/>
      <c r="HXU260" s="821"/>
      <c r="HXV260" s="821"/>
      <c r="HXW260" s="821"/>
      <c r="HXX260" s="821"/>
      <c r="HXY260" s="821"/>
      <c r="HXZ260" s="821"/>
      <c r="HYA260" s="575"/>
      <c r="HYB260" s="821"/>
      <c r="HYC260" s="821"/>
      <c r="HYD260" s="821"/>
      <c r="HYE260" s="821"/>
      <c r="HYF260" s="821"/>
      <c r="HYG260" s="821"/>
      <c r="HYH260" s="821"/>
      <c r="HYI260" s="821"/>
      <c r="HYJ260" s="821"/>
      <c r="HYK260" s="821"/>
      <c r="HYL260" s="821"/>
      <c r="HYM260" s="821"/>
      <c r="HYN260" s="821"/>
      <c r="HYO260" s="821"/>
      <c r="HYP260" s="821"/>
      <c r="HYQ260" s="821"/>
      <c r="HYR260" s="821"/>
      <c r="HYS260" s="821"/>
      <c r="HYT260" s="821"/>
      <c r="HYU260" s="575"/>
      <c r="HYV260" s="821"/>
      <c r="HYW260" s="821"/>
      <c r="HYX260" s="821"/>
      <c r="HYY260" s="821"/>
      <c r="HYZ260" s="821"/>
      <c r="HZA260" s="821"/>
      <c r="HZB260" s="821"/>
      <c r="HZC260" s="821"/>
      <c r="HZD260" s="821"/>
      <c r="HZE260" s="821"/>
      <c r="HZF260" s="821"/>
      <c r="HZG260" s="821"/>
      <c r="HZH260" s="821"/>
      <c r="HZI260" s="821"/>
      <c r="HZJ260" s="821"/>
      <c r="HZK260" s="821"/>
      <c r="HZL260" s="821"/>
      <c r="HZM260" s="821"/>
      <c r="HZN260" s="821"/>
      <c r="HZO260" s="575"/>
      <c r="HZP260" s="821"/>
      <c r="HZQ260" s="821"/>
      <c r="HZR260" s="821"/>
      <c r="HZS260" s="821"/>
      <c r="HZT260" s="821"/>
      <c r="HZU260" s="821"/>
      <c r="HZV260" s="821"/>
      <c r="HZW260" s="821"/>
      <c r="HZX260" s="821"/>
      <c r="HZY260" s="821"/>
      <c r="HZZ260" s="821"/>
      <c r="IAA260" s="821"/>
      <c r="IAB260" s="821"/>
      <c r="IAC260" s="821"/>
      <c r="IAD260" s="821"/>
      <c r="IAE260" s="821"/>
      <c r="IAF260" s="821"/>
      <c r="IAG260" s="821"/>
      <c r="IAH260" s="821"/>
      <c r="IAI260" s="575"/>
      <c r="IAJ260" s="821"/>
      <c r="IAK260" s="821"/>
      <c r="IAL260" s="821"/>
      <c r="IAM260" s="821"/>
      <c r="IAN260" s="821"/>
      <c r="IAO260" s="821"/>
      <c r="IAP260" s="821"/>
      <c r="IAQ260" s="821"/>
      <c r="IAR260" s="821"/>
      <c r="IAS260" s="821"/>
      <c r="IAT260" s="821"/>
      <c r="IAU260" s="821"/>
      <c r="IAV260" s="821"/>
      <c r="IAW260" s="821"/>
      <c r="IAX260" s="821"/>
      <c r="IAY260" s="821"/>
      <c r="IAZ260" s="821"/>
      <c r="IBA260" s="821"/>
      <c r="IBB260" s="821"/>
      <c r="IBC260" s="575"/>
      <c r="IBD260" s="821"/>
      <c r="IBE260" s="821"/>
      <c r="IBF260" s="821"/>
      <c r="IBG260" s="821"/>
      <c r="IBH260" s="821"/>
      <c r="IBI260" s="821"/>
      <c r="IBJ260" s="821"/>
      <c r="IBK260" s="821"/>
      <c r="IBL260" s="821"/>
      <c r="IBM260" s="821"/>
      <c r="IBN260" s="821"/>
      <c r="IBO260" s="821"/>
      <c r="IBP260" s="821"/>
      <c r="IBQ260" s="821"/>
      <c r="IBR260" s="821"/>
      <c r="IBS260" s="821"/>
      <c r="IBT260" s="821"/>
      <c r="IBU260" s="821"/>
      <c r="IBV260" s="821"/>
      <c r="IBW260" s="575"/>
      <c r="IBX260" s="821"/>
      <c r="IBY260" s="821"/>
      <c r="IBZ260" s="821"/>
      <c r="ICA260" s="821"/>
      <c r="ICB260" s="821"/>
      <c r="ICC260" s="821"/>
      <c r="ICD260" s="821"/>
      <c r="ICE260" s="821"/>
      <c r="ICF260" s="821"/>
      <c r="ICG260" s="821"/>
      <c r="ICH260" s="821"/>
      <c r="ICI260" s="821"/>
      <c r="ICJ260" s="821"/>
      <c r="ICK260" s="821"/>
      <c r="ICL260" s="821"/>
      <c r="ICM260" s="821"/>
      <c r="ICN260" s="821"/>
      <c r="ICO260" s="821"/>
      <c r="ICP260" s="821"/>
      <c r="ICQ260" s="575"/>
      <c r="ICR260" s="821"/>
      <c r="ICS260" s="821"/>
      <c r="ICT260" s="821"/>
      <c r="ICU260" s="821"/>
      <c r="ICV260" s="821"/>
      <c r="ICW260" s="821"/>
      <c r="ICX260" s="821"/>
      <c r="ICY260" s="821"/>
      <c r="ICZ260" s="821"/>
      <c r="IDA260" s="821"/>
      <c r="IDB260" s="821"/>
      <c r="IDC260" s="821"/>
      <c r="IDD260" s="821"/>
      <c r="IDE260" s="821"/>
      <c r="IDF260" s="821"/>
      <c r="IDG260" s="821"/>
      <c r="IDH260" s="821"/>
      <c r="IDI260" s="821"/>
      <c r="IDJ260" s="821"/>
      <c r="IDK260" s="575"/>
      <c r="IDL260" s="821"/>
      <c r="IDM260" s="821"/>
      <c r="IDN260" s="821"/>
      <c r="IDO260" s="821"/>
      <c r="IDP260" s="821"/>
      <c r="IDQ260" s="821"/>
      <c r="IDR260" s="821"/>
      <c r="IDS260" s="821"/>
      <c r="IDT260" s="821"/>
      <c r="IDU260" s="821"/>
      <c r="IDV260" s="821"/>
      <c r="IDW260" s="821"/>
      <c r="IDX260" s="821"/>
      <c r="IDY260" s="821"/>
      <c r="IDZ260" s="821"/>
      <c r="IEA260" s="821"/>
      <c r="IEB260" s="821"/>
      <c r="IEC260" s="821"/>
      <c r="IED260" s="821"/>
      <c r="IEE260" s="575"/>
      <c r="IEF260" s="821"/>
      <c r="IEG260" s="821"/>
      <c r="IEH260" s="821"/>
      <c r="IEI260" s="821"/>
      <c r="IEJ260" s="821"/>
      <c r="IEK260" s="821"/>
      <c r="IEL260" s="821"/>
      <c r="IEM260" s="821"/>
      <c r="IEN260" s="821"/>
      <c r="IEO260" s="821"/>
      <c r="IEP260" s="821"/>
      <c r="IEQ260" s="821"/>
      <c r="IER260" s="821"/>
      <c r="IES260" s="821"/>
      <c r="IET260" s="821"/>
      <c r="IEU260" s="821"/>
      <c r="IEV260" s="821"/>
      <c r="IEW260" s="821"/>
      <c r="IEX260" s="821"/>
      <c r="IEY260" s="575"/>
      <c r="IEZ260" s="821"/>
      <c r="IFA260" s="821"/>
      <c r="IFB260" s="821"/>
      <c r="IFC260" s="821"/>
      <c r="IFD260" s="821"/>
      <c r="IFE260" s="821"/>
      <c r="IFF260" s="821"/>
      <c r="IFG260" s="821"/>
      <c r="IFH260" s="821"/>
      <c r="IFI260" s="821"/>
      <c r="IFJ260" s="821"/>
      <c r="IFK260" s="821"/>
      <c r="IFL260" s="821"/>
      <c r="IFM260" s="821"/>
      <c r="IFN260" s="821"/>
      <c r="IFO260" s="821"/>
      <c r="IFP260" s="821"/>
      <c r="IFQ260" s="821"/>
      <c r="IFR260" s="821"/>
      <c r="IFS260" s="575"/>
      <c r="IFT260" s="821"/>
      <c r="IFU260" s="821"/>
      <c r="IFV260" s="821"/>
      <c r="IFW260" s="821"/>
      <c r="IFX260" s="821"/>
      <c r="IFY260" s="821"/>
      <c r="IFZ260" s="821"/>
      <c r="IGA260" s="821"/>
      <c r="IGB260" s="821"/>
      <c r="IGC260" s="821"/>
      <c r="IGD260" s="821"/>
      <c r="IGE260" s="821"/>
      <c r="IGF260" s="821"/>
      <c r="IGG260" s="821"/>
      <c r="IGH260" s="821"/>
      <c r="IGI260" s="821"/>
      <c r="IGJ260" s="821"/>
      <c r="IGK260" s="821"/>
      <c r="IGL260" s="821"/>
      <c r="IGM260" s="575"/>
      <c r="IGN260" s="821"/>
      <c r="IGO260" s="821"/>
      <c r="IGP260" s="821"/>
      <c r="IGQ260" s="821"/>
      <c r="IGR260" s="821"/>
      <c r="IGS260" s="821"/>
      <c r="IGT260" s="821"/>
      <c r="IGU260" s="821"/>
      <c r="IGV260" s="821"/>
      <c r="IGW260" s="821"/>
      <c r="IGX260" s="821"/>
      <c r="IGY260" s="821"/>
      <c r="IGZ260" s="821"/>
      <c r="IHA260" s="821"/>
      <c r="IHB260" s="821"/>
      <c r="IHC260" s="821"/>
      <c r="IHD260" s="821"/>
      <c r="IHE260" s="821"/>
      <c r="IHF260" s="821"/>
      <c r="IHG260" s="575"/>
      <c r="IHH260" s="821"/>
      <c r="IHI260" s="821"/>
      <c r="IHJ260" s="821"/>
      <c r="IHK260" s="821"/>
      <c r="IHL260" s="821"/>
      <c r="IHM260" s="821"/>
      <c r="IHN260" s="821"/>
      <c r="IHO260" s="821"/>
      <c r="IHP260" s="821"/>
      <c r="IHQ260" s="821"/>
      <c r="IHR260" s="821"/>
      <c r="IHS260" s="821"/>
      <c r="IHT260" s="821"/>
      <c r="IHU260" s="821"/>
      <c r="IHV260" s="821"/>
      <c r="IHW260" s="821"/>
      <c r="IHX260" s="821"/>
      <c r="IHY260" s="821"/>
      <c r="IHZ260" s="821"/>
      <c r="IIA260" s="575"/>
      <c r="IIB260" s="821"/>
      <c r="IIC260" s="821"/>
      <c r="IID260" s="821"/>
      <c r="IIE260" s="821"/>
      <c r="IIF260" s="821"/>
      <c r="IIG260" s="821"/>
      <c r="IIH260" s="821"/>
      <c r="III260" s="821"/>
      <c r="IIJ260" s="821"/>
      <c r="IIK260" s="821"/>
      <c r="IIL260" s="821"/>
      <c r="IIM260" s="821"/>
      <c r="IIN260" s="821"/>
      <c r="IIO260" s="821"/>
      <c r="IIP260" s="821"/>
      <c r="IIQ260" s="821"/>
      <c r="IIR260" s="821"/>
      <c r="IIS260" s="821"/>
      <c r="IIT260" s="821"/>
      <c r="IIU260" s="575"/>
      <c r="IIV260" s="821"/>
      <c r="IIW260" s="821"/>
      <c r="IIX260" s="821"/>
      <c r="IIY260" s="821"/>
      <c r="IIZ260" s="821"/>
      <c r="IJA260" s="821"/>
      <c r="IJB260" s="821"/>
      <c r="IJC260" s="821"/>
      <c r="IJD260" s="821"/>
      <c r="IJE260" s="821"/>
      <c r="IJF260" s="821"/>
      <c r="IJG260" s="821"/>
      <c r="IJH260" s="821"/>
      <c r="IJI260" s="821"/>
      <c r="IJJ260" s="821"/>
      <c r="IJK260" s="821"/>
      <c r="IJL260" s="821"/>
      <c r="IJM260" s="821"/>
      <c r="IJN260" s="821"/>
      <c r="IJO260" s="575"/>
      <c r="IJP260" s="821"/>
      <c r="IJQ260" s="821"/>
      <c r="IJR260" s="821"/>
      <c r="IJS260" s="821"/>
      <c r="IJT260" s="821"/>
      <c r="IJU260" s="821"/>
      <c r="IJV260" s="821"/>
      <c r="IJW260" s="821"/>
      <c r="IJX260" s="821"/>
      <c r="IJY260" s="821"/>
      <c r="IJZ260" s="821"/>
      <c r="IKA260" s="821"/>
      <c r="IKB260" s="821"/>
      <c r="IKC260" s="821"/>
      <c r="IKD260" s="821"/>
      <c r="IKE260" s="821"/>
      <c r="IKF260" s="821"/>
      <c r="IKG260" s="821"/>
      <c r="IKH260" s="821"/>
      <c r="IKI260" s="575"/>
      <c r="IKJ260" s="821"/>
      <c r="IKK260" s="821"/>
      <c r="IKL260" s="821"/>
      <c r="IKM260" s="821"/>
      <c r="IKN260" s="821"/>
      <c r="IKO260" s="821"/>
      <c r="IKP260" s="821"/>
      <c r="IKQ260" s="821"/>
      <c r="IKR260" s="821"/>
      <c r="IKS260" s="821"/>
      <c r="IKT260" s="821"/>
      <c r="IKU260" s="821"/>
      <c r="IKV260" s="821"/>
      <c r="IKW260" s="821"/>
      <c r="IKX260" s="821"/>
      <c r="IKY260" s="821"/>
      <c r="IKZ260" s="821"/>
      <c r="ILA260" s="821"/>
      <c r="ILB260" s="821"/>
      <c r="ILC260" s="575"/>
      <c r="ILD260" s="821"/>
      <c r="ILE260" s="821"/>
      <c r="ILF260" s="821"/>
      <c r="ILG260" s="821"/>
      <c r="ILH260" s="821"/>
      <c r="ILI260" s="821"/>
      <c r="ILJ260" s="821"/>
      <c r="ILK260" s="821"/>
      <c r="ILL260" s="821"/>
      <c r="ILM260" s="821"/>
      <c r="ILN260" s="821"/>
      <c r="ILO260" s="821"/>
      <c r="ILP260" s="821"/>
      <c r="ILQ260" s="821"/>
      <c r="ILR260" s="821"/>
      <c r="ILS260" s="821"/>
      <c r="ILT260" s="821"/>
      <c r="ILU260" s="821"/>
      <c r="ILV260" s="821"/>
      <c r="ILW260" s="575"/>
      <c r="ILX260" s="821"/>
      <c r="ILY260" s="821"/>
      <c r="ILZ260" s="821"/>
      <c r="IMA260" s="821"/>
      <c r="IMB260" s="821"/>
      <c r="IMC260" s="821"/>
      <c r="IMD260" s="821"/>
      <c r="IME260" s="821"/>
      <c r="IMF260" s="821"/>
      <c r="IMG260" s="821"/>
      <c r="IMH260" s="821"/>
      <c r="IMI260" s="821"/>
      <c r="IMJ260" s="821"/>
      <c r="IMK260" s="821"/>
      <c r="IML260" s="821"/>
      <c r="IMM260" s="821"/>
      <c r="IMN260" s="821"/>
      <c r="IMO260" s="821"/>
      <c r="IMP260" s="821"/>
      <c r="IMQ260" s="575"/>
      <c r="IMR260" s="821"/>
      <c r="IMS260" s="821"/>
      <c r="IMT260" s="821"/>
      <c r="IMU260" s="821"/>
      <c r="IMV260" s="821"/>
      <c r="IMW260" s="821"/>
      <c r="IMX260" s="821"/>
      <c r="IMY260" s="821"/>
      <c r="IMZ260" s="821"/>
      <c r="INA260" s="821"/>
      <c r="INB260" s="821"/>
      <c r="INC260" s="821"/>
      <c r="IND260" s="821"/>
      <c r="INE260" s="821"/>
      <c r="INF260" s="821"/>
      <c r="ING260" s="821"/>
      <c r="INH260" s="821"/>
      <c r="INI260" s="821"/>
      <c r="INJ260" s="821"/>
      <c r="INK260" s="575"/>
      <c r="INL260" s="821"/>
      <c r="INM260" s="821"/>
      <c r="INN260" s="821"/>
      <c r="INO260" s="821"/>
      <c r="INP260" s="821"/>
      <c r="INQ260" s="821"/>
      <c r="INR260" s="821"/>
      <c r="INS260" s="821"/>
      <c r="INT260" s="821"/>
      <c r="INU260" s="821"/>
      <c r="INV260" s="821"/>
      <c r="INW260" s="821"/>
      <c r="INX260" s="821"/>
      <c r="INY260" s="821"/>
      <c r="INZ260" s="821"/>
      <c r="IOA260" s="821"/>
      <c r="IOB260" s="821"/>
      <c r="IOC260" s="821"/>
      <c r="IOD260" s="821"/>
      <c r="IOE260" s="575"/>
      <c r="IOF260" s="821"/>
      <c r="IOG260" s="821"/>
      <c r="IOH260" s="821"/>
      <c r="IOI260" s="821"/>
      <c r="IOJ260" s="821"/>
      <c r="IOK260" s="821"/>
      <c r="IOL260" s="821"/>
      <c r="IOM260" s="821"/>
      <c r="ION260" s="821"/>
      <c r="IOO260" s="821"/>
      <c r="IOP260" s="821"/>
      <c r="IOQ260" s="821"/>
      <c r="IOR260" s="821"/>
      <c r="IOS260" s="821"/>
      <c r="IOT260" s="821"/>
      <c r="IOU260" s="821"/>
      <c r="IOV260" s="821"/>
      <c r="IOW260" s="821"/>
      <c r="IOX260" s="821"/>
      <c r="IOY260" s="575"/>
      <c r="IOZ260" s="821"/>
      <c r="IPA260" s="821"/>
      <c r="IPB260" s="821"/>
      <c r="IPC260" s="821"/>
      <c r="IPD260" s="821"/>
      <c r="IPE260" s="821"/>
      <c r="IPF260" s="821"/>
      <c r="IPG260" s="821"/>
      <c r="IPH260" s="821"/>
      <c r="IPI260" s="821"/>
      <c r="IPJ260" s="821"/>
      <c r="IPK260" s="821"/>
      <c r="IPL260" s="821"/>
      <c r="IPM260" s="821"/>
      <c r="IPN260" s="821"/>
      <c r="IPO260" s="821"/>
      <c r="IPP260" s="821"/>
      <c r="IPQ260" s="821"/>
      <c r="IPR260" s="821"/>
      <c r="IPS260" s="575"/>
      <c r="IPT260" s="821"/>
      <c r="IPU260" s="821"/>
      <c r="IPV260" s="821"/>
      <c r="IPW260" s="821"/>
      <c r="IPX260" s="821"/>
      <c r="IPY260" s="821"/>
      <c r="IPZ260" s="821"/>
      <c r="IQA260" s="821"/>
      <c r="IQB260" s="821"/>
      <c r="IQC260" s="821"/>
      <c r="IQD260" s="821"/>
      <c r="IQE260" s="821"/>
      <c r="IQF260" s="821"/>
      <c r="IQG260" s="821"/>
      <c r="IQH260" s="821"/>
      <c r="IQI260" s="821"/>
      <c r="IQJ260" s="821"/>
      <c r="IQK260" s="821"/>
      <c r="IQL260" s="821"/>
      <c r="IQM260" s="575"/>
      <c r="IQN260" s="821"/>
      <c r="IQO260" s="821"/>
      <c r="IQP260" s="821"/>
      <c r="IQQ260" s="821"/>
      <c r="IQR260" s="821"/>
      <c r="IQS260" s="821"/>
      <c r="IQT260" s="821"/>
      <c r="IQU260" s="821"/>
      <c r="IQV260" s="821"/>
      <c r="IQW260" s="821"/>
      <c r="IQX260" s="821"/>
      <c r="IQY260" s="821"/>
      <c r="IQZ260" s="821"/>
      <c r="IRA260" s="821"/>
      <c r="IRB260" s="821"/>
      <c r="IRC260" s="821"/>
      <c r="IRD260" s="821"/>
      <c r="IRE260" s="821"/>
      <c r="IRF260" s="821"/>
      <c r="IRG260" s="575"/>
      <c r="IRH260" s="821"/>
      <c r="IRI260" s="821"/>
      <c r="IRJ260" s="821"/>
      <c r="IRK260" s="821"/>
      <c r="IRL260" s="821"/>
      <c r="IRM260" s="821"/>
      <c r="IRN260" s="821"/>
      <c r="IRO260" s="821"/>
      <c r="IRP260" s="821"/>
      <c r="IRQ260" s="821"/>
      <c r="IRR260" s="821"/>
      <c r="IRS260" s="821"/>
      <c r="IRT260" s="821"/>
      <c r="IRU260" s="821"/>
      <c r="IRV260" s="821"/>
      <c r="IRW260" s="821"/>
      <c r="IRX260" s="821"/>
      <c r="IRY260" s="821"/>
      <c r="IRZ260" s="821"/>
      <c r="ISA260" s="575"/>
      <c r="ISB260" s="821"/>
      <c r="ISC260" s="821"/>
      <c r="ISD260" s="821"/>
      <c r="ISE260" s="821"/>
      <c r="ISF260" s="821"/>
      <c r="ISG260" s="821"/>
      <c r="ISH260" s="821"/>
      <c r="ISI260" s="821"/>
      <c r="ISJ260" s="821"/>
      <c r="ISK260" s="821"/>
      <c r="ISL260" s="821"/>
      <c r="ISM260" s="821"/>
      <c r="ISN260" s="821"/>
      <c r="ISO260" s="821"/>
      <c r="ISP260" s="821"/>
      <c r="ISQ260" s="821"/>
      <c r="ISR260" s="821"/>
      <c r="ISS260" s="821"/>
      <c r="IST260" s="821"/>
      <c r="ISU260" s="575"/>
      <c r="ISV260" s="821"/>
      <c r="ISW260" s="821"/>
      <c r="ISX260" s="821"/>
      <c r="ISY260" s="821"/>
      <c r="ISZ260" s="821"/>
      <c r="ITA260" s="821"/>
      <c r="ITB260" s="821"/>
      <c r="ITC260" s="821"/>
      <c r="ITD260" s="821"/>
      <c r="ITE260" s="821"/>
      <c r="ITF260" s="821"/>
      <c r="ITG260" s="821"/>
      <c r="ITH260" s="821"/>
      <c r="ITI260" s="821"/>
      <c r="ITJ260" s="821"/>
      <c r="ITK260" s="821"/>
      <c r="ITL260" s="821"/>
      <c r="ITM260" s="821"/>
      <c r="ITN260" s="821"/>
      <c r="ITO260" s="575"/>
      <c r="ITP260" s="821"/>
      <c r="ITQ260" s="821"/>
      <c r="ITR260" s="821"/>
      <c r="ITS260" s="821"/>
      <c r="ITT260" s="821"/>
      <c r="ITU260" s="821"/>
      <c r="ITV260" s="821"/>
      <c r="ITW260" s="821"/>
      <c r="ITX260" s="821"/>
      <c r="ITY260" s="821"/>
      <c r="ITZ260" s="821"/>
      <c r="IUA260" s="821"/>
      <c r="IUB260" s="821"/>
      <c r="IUC260" s="821"/>
      <c r="IUD260" s="821"/>
      <c r="IUE260" s="821"/>
      <c r="IUF260" s="821"/>
      <c r="IUG260" s="821"/>
      <c r="IUH260" s="821"/>
      <c r="IUI260" s="575"/>
      <c r="IUJ260" s="821"/>
      <c r="IUK260" s="821"/>
      <c r="IUL260" s="821"/>
      <c r="IUM260" s="821"/>
      <c r="IUN260" s="821"/>
      <c r="IUO260" s="821"/>
      <c r="IUP260" s="821"/>
      <c r="IUQ260" s="821"/>
      <c r="IUR260" s="821"/>
      <c r="IUS260" s="821"/>
      <c r="IUT260" s="821"/>
      <c r="IUU260" s="821"/>
      <c r="IUV260" s="821"/>
      <c r="IUW260" s="821"/>
      <c r="IUX260" s="821"/>
      <c r="IUY260" s="821"/>
      <c r="IUZ260" s="821"/>
      <c r="IVA260" s="821"/>
      <c r="IVB260" s="821"/>
      <c r="IVC260" s="575"/>
      <c r="IVD260" s="821"/>
      <c r="IVE260" s="821"/>
      <c r="IVF260" s="821"/>
      <c r="IVG260" s="821"/>
      <c r="IVH260" s="821"/>
      <c r="IVI260" s="821"/>
      <c r="IVJ260" s="821"/>
      <c r="IVK260" s="821"/>
      <c r="IVL260" s="821"/>
      <c r="IVM260" s="821"/>
      <c r="IVN260" s="821"/>
      <c r="IVO260" s="821"/>
      <c r="IVP260" s="821"/>
      <c r="IVQ260" s="821"/>
      <c r="IVR260" s="821"/>
      <c r="IVS260" s="821"/>
      <c r="IVT260" s="821"/>
      <c r="IVU260" s="821"/>
      <c r="IVV260" s="821"/>
      <c r="IVW260" s="575"/>
      <c r="IVX260" s="821"/>
      <c r="IVY260" s="821"/>
      <c r="IVZ260" s="821"/>
      <c r="IWA260" s="821"/>
      <c r="IWB260" s="821"/>
      <c r="IWC260" s="821"/>
      <c r="IWD260" s="821"/>
      <c r="IWE260" s="821"/>
      <c r="IWF260" s="821"/>
      <c r="IWG260" s="821"/>
      <c r="IWH260" s="821"/>
      <c r="IWI260" s="821"/>
      <c r="IWJ260" s="821"/>
      <c r="IWK260" s="821"/>
      <c r="IWL260" s="821"/>
      <c r="IWM260" s="821"/>
      <c r="IWN260" s="821"/>
      <c r="IWO260" s="821"/>
      <c r="IWP260" s="821"/>
      <c r="IWQ260" s="575"/>
      <c r="IWR260" s="821"/>
      <c r="IWS260" s="821"/>
      <c r="IWT260" s="821"/>
      <c r="IWU260" s="821"/>
      <c r="IWV260" s="821"/>
      <c r="IWW260" s="821"/>
      <c r="IWX260" s="821"/>
      <c r="IWY260" s="821"/>
      <c r="IWZ260" s="821"/>
      <c r="IXA260" s="821"/>
      <c r="IXB260" s="821"/>
      <c r="IXC260" s="821"/>
      <c r="IXD260" s="821"/>
      <c r="IXE260" s="821"/>
      <c r="IXF260" s="821"/>
      <c r="IXG260" s="821"/>
      <c r="IXH260" s="821"/>
      <c r="IXI260" s="821"/>
      <c r="IXJ260" s="821"/>
      <c r="IXK260" s="575"/>
      <c r="IXL260" s="821"/>
      <c r="IXM260" s="821"/>
      <c r="IXN260" s="821"/>
      <c r="IXO260" s="821"/>
      <c r="IXP260" s="821"/>
      <c r="IXQ260" s="821"/>
      <c r="IXR260" s="821"/>
      <c r="IXS260" s="821"/>
      <c r="IXT260" s="821"/>
      <c r="IXU260" s="821"/>
      <c r="IXV260" s="821"/>
      <c r="IXW260" s="821"/>
      <c r="IXX260" s="821"/>
      <c r="IXY260" s="821"/>
      <c r="IXZ260" s="821"/>
      <c r="IYA260" s="821"/>
      <c r="IYB260" s="821"/>
      <c r="IYC260" s="821"/>
      <c r="IYD260" s="821"/>
      <c r="IYE260" s="575"/>
      <c r="IYF260" s="821"/>
      <c r="IYG260" s="821"/>
      <c r="IYH260" s="821"/>
      <c r="IYI260" s="821"/>
      <c r="IYJ260" s="821"/>
      <c r="IYK260" s="821"/>
      <c r="IYL260" s="821"/>
      <c r="IYM260" s="821"/>
      <c r="IYN260" s="821"/>
      <c r="IYO260" s="821"/>
      <c r="IYP260" s="821"/>
      <c r="IYQ260" s="821"/>
      <c r="IYR260" s="821"/>
      <c r="IYS260" s="821"/>
      <c r="IYT260" s="821"/>
      <c r="IYU260" s="821"/>
      <c r="IYV260" s="821"/>
      <c r="IYW260" s="821"/>
      <c r="IYX260" s="821"/>
      <c r="IYY260" s="575"/>
      <c r="IYZ260" s="821"/>
      <c r="IZA260" s="821"/>
      <c r="IZB260" s="821"/>
      <c r="IZC260" s="821"/>
      <c r="IZD260" s="821"/>
      <c r="IZE260" s="821"/>
      <c r="IZF260" s="821"/>
      <c r="IZG260" s="821"/>
      <c r="IZH260" s="821"/>
      <c r="IZI260" s="821"/>
      <c r="IZJ260" s="821"/>
      <c r="IZK260" s="821"/>
      <c r="IZL260" s="821"/>
      <c r="IZM260" s="821"/>
      <c r="IZN260" s="821"/>
      <c r="IZO260" s="821"/>
      <c r="IZP260" s="821"/>
      <c r="IZQ260" s="821"/>
      <c r="IZR260" s="821"/>
      <c r="IZS260" s="575"/>
      <c r="IZT260" s="821"/>
      <c r="IZU260" s="821"/>
      <c r="IZV260" s="821"/>
      <c r="IZW260" s="821"/>
      <c r="IZX260" s="821"/>
      <c r="IZY260" s="821"/>
      <c r="IZZ260" s="821"/>
      <c r="JAA260" s="821"/>
      <c r="JAB260" s="821"/>
      <c r="JAC260" s="821"/>
      <c r="JAD260" s="821"/>
      <c r="JAE260" s="821"/>
      <c r="JAF260" s="821"/>
      <c r="JAG260" s="821"/>
      <c r="JAH260" s="821"/>
      <c r="JAI260" s="821"/>
      <c r="JAJ260" s="821"/>
      <c r="JAK260" s="821"/>
      <c r="JAL260" s="821"/>
      <c r="JAM260" s="575"/>
      <c r="JAN260" s="821"/>
      <c r="JAO260" s="821"/>
      <c r="JAP260" s="821"/>
      <c r="JAQ260" s="821"/>
      <c r="JAR260" s="821"/>
      <c r="JAS260" s="821"/>
      <c r="JAT260" s="821"/>
      <c r="JAU260" s="821"/>
      <c r="JAV260" s="821"/>
      <c r="JAW260" s="821"/>
      <c r="JAX260" s="821"/>
      <c r="JAY260" s="821"/>
      <c r="JAZ260" s="821"/>
      <c r="JBA260" s="821"/>
      <c r="JBB260" s="821"/>
      <c r="JBC260" s="821"/>
      <c r="JBD260" s="821"/>
      <c r="JBE260" s="821"/>
      <c r="JBF260" s="821"/>
      <c r="JBG260" s="575"/>
      <c r="JBH260" s="821"/>
      <c r="JBI260" s="821"/>
      <c r="JBJ260" s="821"/>
      <c r="JBK260" s="821"/>
      <c r="JBL260" s="821"/>
      <c r="JBM260" s="821"/>
      <c r="JBN260" s="821"/>
      <c r="JBO260" s="821"/>
      <c r="JBP260" s="821"/>
      <c r="JBQ260" s="821"/>
      <c r="JBR260" s="821"/>
      <c r="JBS260" s="821"/>
      <c r="JBT260" s="821"/>
      <c r="JBU260" s="821"/>
      <c r="JBV260" s="821"/>
      <c r="JBW260" s="821"/>
      <c r="JBX260" s="821"/>
      <c r="JBY260" s="821"/>
      <c r="JBZ260" s="821"/>
      <c r="JCA260" s="575"/>
      <c r="JCB260" s="821"/>
      <c r="JCC260" s="821"/>
      <c r="JCD260" s="821"/>
      <c r="JCE260" s="821"/>
      <c r="JCF260" s="821"/>
      <c r="JCG260" s="821"/>
      <c r="JCH260" s="821"/>
      <c r="JCI260" s="821"/>
      <c r="JCJ260" s="821"/>
      <c r="JCK260" s="821"/>
      <c r="JCL260" s="821"/>
      <c r="JCM260" s="821"/>
      <c r="JCN260" s="821"/>
      <c r="JCO260" s="821"/>
      <c r="JCP260" s="821"/>
      <c r="JCQ260" s="821"/>
      <c r="JCR260" s="821"/>
      <c r="JCS260" s="821"/>
      <c r="JCT260" s="821"/>
      <c r="JCU260" s="575"/>
      <c r="JCV260" s="821"/>
      <c r="JCW260" s="821"/>
      <c r="JCX260" s="821"/>
      <c r="JCY260" s="821"/>
      <c r="JCZ260" s="821"/>
      <c r="JDA260" s="821"/>
      <c r="JDB260" s="821"/>
      <c r="JDC260" s="821"/>
      <c r="JDD260" s="821"/>
      <c r="JDE260" s="821"/>
      <c r="JDF260" s="821"/>
      <c r="JDG260" s="821"/>
      <c r="JDH260" s="821"/>
      <c r="JDI260" s="821"/>
      <c r="JDJ260" s="821"/>
      <c r="JDK260" s="821"/>
      <c r="JDL260" s="821"/>
      <c r="JDM260" s="821"/>
      <c r="JDN260" s="821"/>
      <c r="JDO260" s="575"/>
      <c r="JDP260" s="821"/>
      <c r="JDQ260" s="821"/>
      <c r="JDR260" s="821"/>
      <c r="JDS260" s="821"/>
      <c r="JDT260" s="821"/>
      <c r="JDU260" s="821"/>
      <c r="JDV260" s="821"/>
      <c r="JDW260" s="821"/>
      <c r="JDX260" s="821"/>
      <c r="JDY260" s="821"/>
      <c r="JDZ260" s="821"/>
      <c r="JEA260" s="821"/>
      <c r="JEB260" s="821"/>
      <c r="JEC260" s="821"/>
      <c r="JED260" s="821"/>
      <c r="JEE260" s="821"/>
      <c r="JEF260" s="821"/>
      <c r="JEG260" s="821"/>
      <c r="JEH260" s="821"/>
      <c r="JEI260" s="575"/>
      <c r="JEJ260" s="821"/>
      <c r="JEK260" s="821"/>
      <c r="JEL260" s="821"/>
      <c r="JEM260" s="821"/>
      <c r="JEN260" s="821"/>
      <c r="JEO260" s="821"/>
      <c r="JEP260" s="821"/>
      <c r="JEQ260" s="821"/>
      <c r="JER260" s="821"/>
      <c r="JES260" s="821"/>
      <c r="JET260" s="821"/>
      <c r="JEU260" s="821"/>
      <c r="JEV260" s="821"/>
      <c r="JEW260" s="821"/>
      <c r="JEX260" s="821"/>
      <c r="JEY260" s="821"/>
      <c r="JEZ260" s="821"/>
      <c r="JFA260" s="821"/>
      <c r="JFB260" s="821"/>
      <c r="JFC260" s="575"/>
      <c r="JFD260" s="821"/>
      <c r="JFE260" s="821"/>
      <c r="JFF260" s="821"/>
      <c r="JFG260" s="821"/>
      <c r="JFH260" s="821"/>
      <c r="JFI260" s="821"/>
      <c r="JFJ260" s="821"/>
      <c r="JFK260" s="821"/>
      <c r="JFL260" s="821"/>
      <c r="JFM260" s="821"/>
      <c r="JFN260" s="821"/>
      <c r="JFO260" s="821"/>
      <c r="JFP260" s="821"/>
      <c r="JFQ260" s="821"/>
      <c r="JFR260" s="821"/>
      <c r="JFS260" s="821"/>
      <c r="JFT260" s="821"/>
      <c r="JFU260" s="821"/>
      <c r="JFV260" s="821"/>
      <c r="JFW260" s="575"/>
      <c r="JFX260" s="821"/>
      <c r="JFY260" s="821"/>
      <c r="JFZ260" s="821"/>
      <c r="JGA260" s="821"/>
      <c r="JGB260" s="821"/>
      <c r="JGC260" s="821"/>
      <c r="JGD260" s="821"/>
      <c r="JGE260" s="821"/>
      <c r="JGF260" s="821"/>
      <c r="JGG260" s="821"/>
      <c r="JGH260" s="821"/>
      <c r="JGI260" s="821"/>
      <c r="JGJ260" s="821"/>
      <c r="JGK260" s="821"/>
      <c r="JGL260" s="821"/>
      <c r="JGM260" s="821"/>
      <c r="JGN260" s="821"/>
      <c r="JGO260" s="821"/>
      <c r="JGP260" s="821"/>
      <c r="JGQ260" s="575"/>
      <c r="JGR260" s="821"/>
      <c r="JGS260" s="821"/>
      <c r="JGT260" s="821"/>
      <c r="JGU260" s="821"/>
      <c r="JGV260" s="821"/>
      <c r="JGW260" s="821"/>
      <c r="JGX260" s="821"/>
      <c r="JGY260" s="821"/>
      <c r="JGZ260" s="821"/>
      <c r="JHA260" s="821"/>
      <c r="JHB260" s="821"/>
      <c r="JHC260" s="821"/>
      <c r="JHD260" s="821"/>
      <c r="JHE260" s="821"/>
      <c r="JHF260" s="821"/>
      <c r="JHG260" s="821"/>
      <c r="JHH260" s="821"/>
      <c r="JHI260" s="821"/>
      <c r="JHJ260" s="821"/>
      <c r="JHK260" s="575"/>
      <c r="JHL260" s="821"/>
      <c r="JHM260" s="821"/>
      <c r="JHN260" s="821"/>
      <c r="JHO260" s="821"/>
      <c r="JHP260" s="821"/>
      <c r="JHQ260" s="821"/>
      <c r="JHR260" s="821"/>
      <c r="JHS260" s="821"/>
      <c r="JHT260" s="821"/>
      <c r="JHU260" s="821"/>
      <c r="JHV260" s="821"/>
      <c r="JHW260" s="821"/>
      <c r="JHX260" s="821"/>
      <c r="JHY260" s="821"/>
      <c r="JHZ260" s="821"/>
      <c r="JIA260" s="821"/>
      <c r="JIB260" s="821"/>
      <c r="JIC260" s="821"/>
      <c r="JID260" s="821"/>
      <c r="JIE260" s="575"/>
      <c r="JIF260" s="821"/>
      <c r="JIG260" s="821"/>
      <c r="JIH260" s="821"/>
      <c r="JII260" s="821"/>
      <c r="JIJ260" s="821"/>
      <c r="JIK260" s="821"/>
      <c r="JIL260" s="821"/>
      <c r="JIM260" s="821"/>
      <c r="JIN260" s="821"/>
      <c r="JIO260" s="821"/>
      <c r="JIP260" s="821"/>
      <c r="JIQ260" s="821"/>
      <c r="JIR260" s="821"/>
      <c r="JIS260" s="821"/>
      <c r="JIT260" s="821"/>
      <c r="JIU260" s="821"/>
      <c r="JIV260" s="821"/>
      <c r="JIW260" s="821"/>
      <c r="JIX260" s="821"/>
      <c r="JIY260" s="575"/>
      <c r="JIZ260" s="821"/>
      <c r="JJA260" s="821"/>
      <c r="JJB260" s="821"/>
      <c r="JJC260" s="821"/>
      <c r="JJD260" s="821"/>
      <c r="JJE260" s="821"/>
      <c r="JJF260" s="821"/>
      <c r="JJG260" s="821"/>
      <c r="JJH260" s="821"/>
      <c r="JJI260" s="821"/>
      <c r="JJJ260" s="821"/>
      <c r="JJK260" s="821"/>
      <c r="JJL260" s="821"/>
      <c r="JJM260" s="821"/>
      <c r="JJN260" s="821"/>
      <c r="JJO260" s="821"/>
      <c r="JJP260" s="821"/>
      <c r="JJQ260" s="821"/>
      <c r="JJR260" s="821"/>
      <c r="JJS260" s="575"/>
      <c r="JJT260" s="821"/>
      <c r="JJU260" s="821"/>
      <c r="JJV260" s="821"/>
      <c r="JJW260" s="821"/>
      <c r="JJX260" s="821"/>
      <c r="JJY260" s="821"/>
      <c r="JJZ260" s="821"/>
      <c r="JKA260" s="821"/>
      <c r="JKB260" s="821"/>
      <c r="JKC260" s="821"/>
      <c r="JKD260" s="821"/>
      <c r="JKE260" s="821"/>
      <c r="JKF260" s="821"/>
      <c r="JKG260" s="821"/>
      <c r="JKH260" s="821"/>
      <c r="JKI260" s="821"/>
      <c r="JKJ260" s="821"/>
      <c r="JKK260" s="821"/>
      <c r="JKL260" s="821"/>
      <c r="JKM260" s="575"/>
      <c r="JKN260" s="821"/>
      <c r="JKO260" s="821"/>
      <c r="JKP260" s="821"/>
      <c r="JKQ260" s="821"/>
      <c r="JKR260" s="821"/>
      <c r="JKS260" s="821"/>
      <c r="JKT260" s="821"/>
      <c r="JKU260" s="821"/>
      <c r="JKV260" s="821"/>
      <c r="JKW260" s="821"/>
      <c r="JKX260" s="821"/>
      <c r="JKY260" s="821"/>
      <c r="JKZ260" s="821"/>
      <c r="JLA260" s="821"/>
      <c r="JLB260" s="821"/>
      <c r="JLC260" s="821"/>
      <c r="JLD260" s="821"/>
      <c r="JLE260" s="821"/>
      <c r="JLF260" s="821"/>
      <c r="JLG260" s="575"/>
      <c r="JLH260" s="821"/>
      <c r="JLI260" s="821"/>
      <c r="JLJ260" s="821"/>
      <c r="JLK260" s="821"/>
      <c r="JLL260" s="821"/>
      <c r="JLM260" s="821"/>
      <c r="JLN260" s="821"/>
      <c r="JLO260" s="821"/>
      <c r="JLP260" s="821"/>
      <c r="JLQ260" s="821"/>
      <c r="JLR260" s="821"/>
      <c r="JLS260" s="821"/>
      <c r="JLT260" s="821"/>
      <c r="JLU260" s="821"/>
      <c r="JLV260" s="821"/>
      <c r="JLW260" s="821"/>
      <c r="JLX260" s="821"/>
      <c r="JLY260" s="821"/>
      <c r="JLZ260" s="821"/>
      <c r="JMA260" s="575"/>
      <c r="JMB260" s="821"/>
      <c r="JMC260" s="821"/>
      <c r="JMD260" s="821"/>
      <c r="JME260" s="821"/>
      <c r="JMF260" s="821"/>
      <c r="JMG260" s="821"/>
      <c r="JMH260" s="821"/>
      <c r="JMI260" s="821"/>
      <c r="JMJ260" s="821"/>
      <c r="JMK260" s="821"/>
      <c r="JML260" s="821"/>
      <c r="JMM260" s="821"/>
      <c r="JMN260" s="821"/>
      <c r="JMO260" s="821"/>
      <c r="JMP260" s="821"/>
      <c r="JMQ260" s="821"/>
      <c r="JMR260" s="821"/>
      <c r="JMS260" s="821"/>
      <c r="JMT260" s="821"/>
      <c r="JMU260" s="575"/>
      <c r="JMV260" s="821"/>
      <c r="JMW260" s="821"/>
      <c r="JMX260" s="821"/>
      <c r="JMY260" s="821"/>
      <c r="JMZ260" s="821"/>
      <c r="JNA260" s="821"/>
      <c r="JNB260" s="821"/>
      <c r="JNC260" s="821"/>
      <c r="JND260" s="821"/>
      <c r="JNE260" s="821"/>
      <c r="JNF260" s="821"/>
      <c r="JNG260" s="821"/>
      <c r="JNH260" s="821"/>
      <c r="JNI260" s="821"/>
      <c r="JNJ260" s="821"/>
      <c r="JNK260" s="821"/>
      <c r="JNL260" s="821"/>
      <c r="JNM260" s="821"/>
      <c r="JNN260" s="821"/>
      <c r="JNO260" s="575"/>
      <c r="JNP260" s="821"/>
      <c r="JNQ260" s="821"/>
      <c r="JNR260" s="821"/>
      <c r="JNS260" s="821"/>
      <c r="JNT260" s="821"/>
      <c r="JNU260" s="821"/>
      <c r="JNV260" s="821"/>
      <c r="JNW260" s="821"/>
      <c r="JNX260" s="821"/>
      <c r="JNY260" s="821"/>
      <c r="JNZ260" s="821"/>
      <c r="JOA260" s="821"/>
      <c r="JOB260" s="821"/>
      <c r="JOC260" s="821"/>
      <c r="JOD260" s="821"/>
      <c r="JOE260" s="821"/>
      <c r="JOF260" s="821"/>
      <c r="JOG260" s="821"/>
      <c r="JOH260" s="821"/>
      <c r="JOI260" s="575"/>
      <c r="JOJ260" s="821"/>
      <c r="JOK260" s="821"/>
      <c r="JOL260" s="821"/>
      <c r="JOM260" s="821"/>
      <c r="JON260" s="821"/>
      <c r="JOO260" s="821"/>
      <c r="JOP260" s="821"/>
      <c r="JOQ260" s="821"/>
      <c r="JOR260" s="821"/>
      <c r="JOS260" s="821"/>
      <c r="JOT260" s="821"/>
      <c r="JOU260" s="821"/>
      <c r="JOV260" s="821"/>
      <c r="JOW260" s="821"/>
      <c r="JOX260" s="821"/>
      <c r="JOY260" s="821"/>
      <c r="JOZ260" s="821"/>
      <c r="JPA260" s="821"/>
      <c r="JPB260" s="821"/>
      <c r="JPC260" s="575"/>
      <c r="JPD260" s="821"/>
      <c r="JPE260" s="821"/>
      <c r="JPF260" s="821"/>
      <c r="JPG260" s="821"/>
      <c r="JPH260" s="821"/>
      <c r="JPI260" s="821"/>
      <c r="JPJ260" s="821"/>
      <c r="JPK260" s="821"/>
      <c r="JPL260" s="821"/>
      <c r="JPM260" s="821"/>
      <c r="JPN260" s="821"/>
      <c r="JPO260" s="821"/>
      <c r="JPP260" s="821"/>
      <c r="JPQ260" s="821"/>
      <c r="JPR260" s="821"/>
      <c r="JPS260" s="821"/>
      <c r="JPT260" s="821"/>
      <c r="JPU260" s="821"/>
      <c r="JPV260" s="821"/>
      <c r="JPW260" s="575"/>
      <c r="JPX260" s="821"/>
      <c r="JPY260" s="821"/>
      <c r="JPZ260" s="821"/>
      <c r="JQA260" s="821"/>
      <c r="JQB260" s="821"/>
      <c r="JQC260" s="821"/>
      <c r="JQD260" s="821"/>
      <c r="JQE260" s="821"/>
      <c r="JQF260" s="821"/>
      <c r="JQG260" s="821"/>
      <c r="JQH260" s="821"/>
      <c r="JQI260" s="821"/>
      <c r="JQJ260" s="821"/>
      <c r="JQK260" s="821"/>
      <c r="JQL260" s="821"/>
      <c r="JQM260" s="821"/>
      <c r="JQN260" s="821"/>
      <c r="JQO260" s="821"/>
      <c r="JQP260" s="821"/>
      <c r="JQQ260" s="575"/>
      <c r="JQR260" s="821"/>
      <c r="JQS260" s="821"/>
      <c r="JQT260" s="821"/>
      <c r="JQU260" s="821"/>
      <c r="JQV260" s="821"/>
      <c r="JQW260" s="821"/>
      <c r="JQX260" s="821"/>
      <c r="JQY260" s="821"/>
      <c r="JQZ260" s="821"/>
      <c r="JRA260" s="821"/>
      <c r="JRB260" s="821"/>
      <c r="JRC260" s="821"/>
      <c r="JRD260" s="821"/>
      <c r="JRE260" s="821"/>
      <c r="JRF260" s="821"/>
      <c r="JRG260" s="821"/>
      <c r="JRH260" s="821"/>
      <c r="JRI260" s="821"/>
      <c r="JRJ260" s="821"/>
      <c r="JRK260" s="575"/>
      <c r="JRL260" s="821"/>
      <c r="JRM260" s="821"/>
      <c r="JRN260" s="821"/>
      <c r="JRO260" s="821"/>
      <c r="JRP260" s="821"/>
      <c r="JRQ260" s="821"/>
      <c r="JRR260" s="821"/>
      <c r="JRS260" s="821"/>
      <c r="JRT260" s="821"/>
      <c r="JRU260" s="821"/>
      <c r="JRV260" s="821"/>
      <c r="JRW260" s="821"/>
      <c r="JRX260" s="821"/>
      <c r="JRY260" s="821"/>
      <c r="JRZ260" s="821"/>
      <c r="JSA260" s="821"/>
      <c r="JSB260" s="821"/>
      <c r="JSC260" s="821"/>
      <c r="JSD260" s="821"/>
      <c r="JSE260" s="575"/>
      <c r="JSF260" s="821"/>
      <c r="JSG260" s="821"/>
      <c r="JSH260" s="821"/>
      <c r="JSI260" s="821"/>
      <c r="JSJ260" s="821"/>
      <c r="JSK260" s="821"/>
      <c r="JSL260" s="821"/>
      <c r="JSM260" s="821"/>
      <c r="JSN260" s="821"/>
      <c r="JSO260" s="821"/>
      <c r="JSP260" s="821"/>
      <c r="JSQ260" s="821"/>
      <c r="JSR260" s="821"/>
      <c r="JSS260" s="821"/>
      <c r="JST260" s="821"/>
      <c r="JSU260" s="821"/>
      <c r="JSV260" s="821"/>
      <c r="JSW260" s="821"/>
      <c r="JSX260" s="821"/>
      <c r="JSY260" s="575"/>
      <c r="JSZ260" s="821"/>
      <c r="JTA260" s="821"/>
      <c r="JTB260" s="821"/>
      <c r="JTC260" s="821"/>
      <c r="JTD260" s="821"/>
      <c r="JTE260" s="821"/>
      <c r="JTF260" s="821"/>
      <c r="JTG260" s="821"/>
      <c r="JTH260" s="821"/>
      <c r="JTI260" s="821"/>
      <c r="JTJ260" s="821"/>
      <c r="JTK260" s="821"/>
      <c r="JTL260" s="821"/>
      <c r="JTM260" s="821"/>
      <c r="JTN260" s="821"/>
      <c r="JTO260" s="821"/>
      <c r="JTP260" s="821"/>
      <c r="JTQ260" s="821"/>
      <c r="JTR260" s="821"/>
      <c r="JTS260" s="575"/>
      <c r="JTT260" s="821"/>
      <c r="JTU260" s="821"/>
      <c r="JTV260" s="821"/>
      <c r="JTW260" s="821"/>
      <c r="JTX260" s="821"/>
      <c r="JTY260" s="821"/>
      <c r="JTZ260" s="821"/>
      <c r="JUA260" s="821"/>
      <c r="JUB260" s="821"/>
      <c r="JUC260" s="821"/>
      <c r="JUD260" s="821"/>
      <c r="JUE260" s="821"/>
      <c r="JUF260" s="821"/>
      <c r="JUG260" s="821"/>
      <c r="JUH260" s="821"/>
      <c r="JUI260" s="821"/>
      <c r="JUJ260" s="821"/>
      <c r="JUK260" s="821"/>
      <c r="JUL260" s="821"/>
      <c r="JUM260" s="575"/>
      <c r="JUN260" s="821"/>
      <c r="JUO260" s="821"/>
      <c r="JUP260" s="821"/>
      <c r="JUQ260" s="821"/>
      <c r="JUR260" s="821"/>
      <c r="JUS260" s="821"/>
      <c r="JUT260" s="821"/>
      <c r="JUU260" s="821"/>
      <c r="JUV260" s="821"/>
      <c r="JUW260" s="821"/>
      <c r="JUX260" s="821"/>
      <c r="JUY260" s="821"/>
      <c r="JUZ260" s="821"/>
      <c r="JVA260" s="821"/>
      <c r="JVB260" s="821"/>
      <c r="JVC260" s="821"/>
      <c r="JVD260" s="821"/>
      <c r="JVE260" s="821"/>
      <c r="JVF260" s="821"/>
      <c r="JVG260" s="575"/>
      <c r="JVH260" s="821"/>
      <c r="JVI260" s="821"/>
      <c r="JVJ260" s="821"/>
      <c r="JVK260" s="821"/>
      <c r="JVL260" s="821"/>
      <c r="JVM260" s="821"/>
      <c r="JVN260" s="821"/>
      <c r="JVO260" s="821"/>
      <c r="JVP260" s="821"/>
      <c r="JVQ260" s="821"/>
      <c r="JVR260" s="821"/>
      <c r="JVS260" s="821"/>
      <c r="JVT260" s="821"/>
      <c r="JVU260" s="821"/>
      <c r="JVV260" s="821"/>
      <c r="JVW260" s="821"/>
      <c r="JVX260" s="821"/>
      <c r="JVY260" s="821"/>
      <c r="JVZ260" s="821"/>
      <c r="JWA260" s="575"/>
      <c r="JWB260" s="821"/>
      <c r="JWC260" s="821"/>
      <c r="JWD260" s="821"/>
      <c r="JWE260" s="821"/>
      <c r="JWF260" s="821"/>
      <c r="JWG260" s="821"/>
      <c r="JWH260" s="821"/>
      <c r="JWI260" s="821"/>
      <c r="JWJ260" s="821"/>
      <c r="JWK260" s="821"/>
      <c r="JWL260" s="821"/>
      <c r="JWM260" s="821"/>
      <c r="JWN260" s="821"/>
      <c r="JWO260" s="821"/>
      <c r="JWP260" s="821"/>
      <c r="JWQ260" s="821"/>
      <c r="JWR260" s="821"/>
      <c r="JWS260" s="821"/>
      <c r="JWT260" s="821"/>
      <c r="JWU260" s="575"/>
      <c r="JWV260" s="821"/>
      <c r="JWW260" s="821"/>
      <c r="JWX260" s="821"/>
      <c r="JWY260" s="821"/>
      <c r="JWZ260" s="821"/>
      <c r="JXA260" s="821"/>
      <c r="JXB260" s="821"/>
      <c r="JXC260" s="821"/>
      <c r="JXD260" s="821"/>
      <c r="JXE260" s="821"/>
      <c r="JXF260" s="821"/>
      <c r="JXG260" s="821"/>
      <c r="JXH260" s="821"/>
      <c r="JXI260" s="821"/>
      <c r="JXJ260" s="821"/>
      <c r="JXK260" s="821"/>
      <c r="JXL260" s="821"/>
      <c r="JXM260" s="821"/>
      <c r="JXN260" s="821"/>
      <c r="JXO260" s="575"/>
      <c r="JXP260" s="821"/>
      <c r="JXQ260" s="821"/>
      <c r="JXR260" s="821"/>
      <c r="JXS260" s="821"/>
      <c r="JXT260" s="821"/>
      <c r="JXU260" s="821"/>
      <c r="JXV260" s="821"/>
      <c r="JXW260" s="821"/>
      <c r="JXX260" s="821"/>
      <c r="JXY260" s="821"/>
      <c r="JXZ260" s="821"/>
      <c r="JYA260" s="821"/>
      <c r="JYB260" s="821"/>
      <c r="JYC260" s="821"/>
      <c r="JYD260" s="821"/>
      <c r="JYE260" s="821"/>
      <c r="JYF260" s="821"/>
      <c r="JYG260" s="821"/>
      <c r="JYH260" s="821"/>
      <c r="JYI260" s="575"/>
      <c r="JYJ260" s="821"/>
      <c r="JYK260" s="821"/>
      <c r="JYL260" s="821"/>
      <c r="JYM260" s="821"/>
      <c r="JYN260" s="821"/>
      <c r="JYO260" s="821"/>
      <c r="JYP260" s="821"/>
      <c r="JYQ260" s="821"/>
      <c r="JYR260" s="821"/>
      <c r="JYS260" s="821"/>
      <c r="JYT260" s="821"/>
      <c r="JYU260" s="821"/>
      <c r="JYV260" s="821"/>
      <c r="JYW260" s="821"/>
      <c r="JYX260" s="821"/>
      <c r="JYY260" s="821"/>
      <c r="JYZ260" s="821"/>
      <c r="JZA260" s="821"/>
      <c r="JZB260" s="821"/>
      <c r="JZC260" s="575"/>
      <c r="JZD260" s="821"/>
      <c r="JZE260" s="821"/>
      <c r="JZF260" s="821"/>
      <c r="JZG260" s="821"/>
      <c r="JZH260" s="821"/>
      <c r="JZI260" s="821"/>
      <c r="JZJ260" s="821"/>
      <c r="JZK260" s="821"/>
      <c r="JZL260" s="821"/>
      <c r="JZM260" s="821"/>
      <c r="JZN260" s="821"/>
      <c r="JZO260" s="821"/>
      <c r="JZP260" s="821"/>
      <c r="JZQ260" s="821"/>
      <c r="JZR260" s="821"/>
      <c r="JZS260" s="821"/>
      <c r="JZT260" s="821"/>
      <c r="JZU260" s="821"/>
      <c r="JZV260" s="821"/>
      <c r="JZW260" s="575"/>
      <c r="JZX260" s="821"/>
      <c r="JZY260" s="821"/>
      <c r="JZZ260" s="821"/>
      <c r="KAA260" s="821"/>
      <c r="KAB260" s="821"/>
      <c r="KAC260" s="821"/>
      <c r="KAD260" s="821"/>
      <c r="KAE260" s="821"/>
      <c r="KAF260" s="821"/>
      <c r="KAG260" s="821"/>
      <c r="KAH260" s="821"/>
      <c r="KAI260" s="821"/>
      <c r="KAJ260" s="821"/>
      <c r="KAK260" s="821"/>
      <c r="KAL260" s="821"/>
      <c r="KAM260" s="821"/>
      <c r="KAN260" s="821"/>
      <c r="KAO260" s="821"/>
      <c r="KAP260" s="821"/>
      <c r="KAQ260" s="575"/>
      <c r="KAR260" s="821"/>
      <c r="KAS260" s="821"/>
      <c r="KAT260" s="821"/>
      <c r="KAU260" s="821"/>
      <c r="KAV260" s="821"/>
      <c r="KAW260" s="821"/>
      <c r="KAX260" s="821"/>
      <c r="KAY260" s="821"/>
      <c r="KAZ260" s="821"/>
      <c r="KBA260" s="821"/>
      <c r="KBB260" s="821"/>
      <c r="KBC260" s="821"/>
      <c r="KBD260" s="821"/>
      <c r="KBE260" s="821"/>
      <c r="KBF260" s="821"/>
      <c r="KBG260" s="821"/>
      <c r="KBH260" s="821"/>
      <c r="KBI260" s="821"/>
      <c r="KBJ260" s="821"/>
      <c r="KBK260" s="575"/>
      <c r="KBL260" s="821"/>
      <c r="KBM260" s="821"/>
      <c r="KBN260" s="821"/>
      <c r="KBO260" s="821"/>
      <c r="KBP260" s="821"/>
      <c r="KBQ260" s="821"/>
      <c r="KBR260" s="821"/>
      <c r="KBS260" s="821"/>
      <c r="KBT260" s="821"/>
      <c r="KBU260" s="821"/>
      <c r="KBV260" s="821"/>
      <c r="KBW260" s="821"/>
      <c r="KBX260" s="821"/>
      <c r="KBY260" s="821"/>
      <c r="KBZ260" s="821"/>
      <c r="KCA260" s="821"/>
      <c r="KCB260" s="821"/>
      <c r="KCC260" s="821"/>
      <c r="KCD260" s="821"/>
      <c r="KCE260" s="575"/>
      <c r="KCF260" s="821"/>
      <c r="KCG260" s="821"/>
      <c r="KCH260" s="821"/>
      <c r="KCI260" s="821"/>
      <c r="KCJ260" s="821"/>
      <c r="KCK260" s="821"/>
      <c r="KCL260" s="821"/>
      <c r="KCM260" s="821"/>
      <c r="KCN260" s="821"/>
      <c r="KCO260" s="821"/>
      <c r="KCP260" s="821"/>
      <c r="KCQ260" s="821"/>
      <c r="KCR260" s="821"/>
      <c r="KCS260" s="821"/>
      <c r="KCT260" s="821"/>
      <c r="KCU260" s="821"/>
      <c r="KCV260" s="821"/>
      <c r="KCW260" s="821"/>
      <c r="KCX260" s="821"/>
      <c r="KCY260" s="575"/>
      <c r="KCZ260" s="821"/>
      <c r="KDA260" s="821"/>
      <c r="KDB260" s="821"/>
      <c r="KDC260" s="821"/>
      <c r="KDD260" s="821"/>
      <c r="KDE260" s="821"/>
      <c r="KDF260" s="821"/>
      <c r="KDG260" s="821"/>
      <c r="KDH260" s="821"/>
      <c r="KDI260" s="821"/>
      <c r="KDJ260" s="821"/>
      <c r="KDK260" s="821"/>
      <c r="KDL260" s="821"/>
      <c r="KDM260" s="821"/>
      <c r="KDN260" s="821"/>
      <c r="KDO260" s="821"/>
      <c r="KDP260" s="821"/>
      <c r="KDQ260" s="821"/>
      <c r="KDR260" s="821"/>
      <c r="KDS260" s="575"/>
      <c r="KDT260" s="821"/>
      <c r="KDU260" s="821"/>
      <c r="KDV260" s="821"/>
      <c r="KDW260" s="821"/>
      <c r="KDX260" s="821"/>
      <c r="KDY260" s="821"/>
      <c r="KDZ260" s="821"/>
      <c r="KEA260" s="821"/>
      <c r="KEB260" s="821"/>
      <c r="KEC260" s="821"/>
      <c r="KED260" s="821"/>
      <c r="KEE260" s="821"/>
      <c r="KEF260" s="821"/>
      <c r="KEG260" s="821"/>
      <c r="KEH260" s="821"/>
      <c r="KEI260" s="821"/>
      <c r="KEJ260" s="821"/>
      <c r="KEK260" s="821"/>
      <c r="KEL260" s="821"/>
      <c r="KEM260" s="575"/>
      <c r="KEN260" s="821"/>
      <c r="KEO260" s="821"/>
      <c r="KEP260" s="821"/>
      <c r="KEQ260" s="821"/>
      <c r="KER260" s="821"/>
      <c r="KES260" s="821"/>
      <c r="KET260" s="821"/>
      <c r="KEU260" s="821"/>
      <c r="KEV260" s="821"/>
      <c r="KEW260" s="821"/>
      <c r="KEX260" s="821"/>
      <c r="KEY260" s="821"/>
      <c r="KEZ260" s="821"/>
      <c r="KFA260" s="821"/>
      <c r="KFB260" s="821"/>
      <c r="KFC260" s="821"/>
      <c r="KFD260" s="821"/>
      <c r="KFE260" s="821"/>
      <c r="KFF260" s="821"/>
      <c r="KFG260" s="575"/>
      <c r="KFH260" s="821"/>
      <c r="KFI260" s="821"/>
      <c r="KFJ260" s="821"/>
      <c r="KFK260" s="821"/>
      <c r="KFL260" s="821"/>
      <c r="KFM260" s="821"/>
      <c r="KFN260" s="821"/>
      <c r="KFO260" s="821"/>
      <c r="KFP260" s="821"/>
      <c r="KFQ260" s="821"/>
      <c r="KFR260" s="821"/>
      <c r="KFS260" s="821"/>
      <c r="KFT260" s="821"/>
      <c r="KFU260" s="821"/>
      <c r="KFV260" s="821"/>
      <c r="KFW260" s="821"/>
      <c r="KFX260" s="821"/>
      <c r="KFY260" s="821"/>
      <c r="KFZ260" s="821"/>
      <c r="KGA260" s="575"/>
      <c r="KGB260" s="821"/>
      <c r="KGC260" s="821"/>
      <c r="KGD260" s="821"/>
      <c r="KGE260" s="821"/>
      <c r="KGF260" s="821"/>
      <c r="KGG260" s="821"/>
      <c r="KGH260" s="821"/>
      <c r="KGI260" s="821"/>
      <c r="KGJ260" s="821"/>
      <c r="KGK260" s="821"/>
      <c r="KGL260" s="821"/>
      <c r="KGM260" s="821"/>
      <c r="KGN260" s="821"/>
      <c r="KGO260" s="821"/>
      <c r="KGP260" s="821"/>
      <c r="KGQ260" s="821"/>
      <c r="KGR260" s="821"/>
      <c r="KGS260" s="821"/>
      <c r="KGT260" s="821"/>
      <c r="KGU260" s="575"/>
      <c r="KGV260" s="821"/>
      <c r="KGW260" s="821"/>
      <c r="KGX260" s="821"/>
      <c r="KGY260" s="821"/>
      <c r="KGZ260" s="821"/>
      <c r="KHA260" s="821"/>
      <c r="KHB260" s="821"/>
      <c r="KHC260" s="821"/>
      <c r="KHD260" s="821"/>
      <c r="KHE260" s="821"/>
      <c r="KHF260" s="821"/>
      <c r="KHG260" s="821"/>
      <c r="KHH260" s="821"/>
      <c r="KHI260" s="821"/>
      <c r="KHJ260" s="821"/>
      <c r="KHK260" s="821"/>
      <c r="KHL260" s="821"/>
      <c r="KHM260" s="821"/>
      <c r="KHN260" s="821"/>
      <c r="KHO260" s="575"/>
      <c r="KHP260" s="821"/>
      <c r="KHQ260" s="821"/>
      <c r="KHR260" s="821"/>
      <c r="KHS260" s="821"/>
      <c r="KHT260" s="821"/>
      <c r="KHU260" s="821"/>
      <c r="KHV260" s="821"/>
      <c r="KHW260" s="821"/>
      <c r="KHX260" s="821"/>
      <c r="KHY260" s="821"/>
      <c r="KHZ260" s="821"/>
      <c r="KIA260" s="821"/>
      <c r="KIB260" s="821"/>
      <c r="KIC260" s="821"/>
      <c r="KID260" s="821"/>
      <c r="KIE260" s="821"/>
      <c r="KIF260" s="821"/>
      <c r="KIG260" s="821"/>
      <c r="KIH260" s="821"/>
      <c r="KII260" s="575"/>
      <c r="KIJ260" s="821"/>
      <c r="KIK260" s="821"/>
      <c r="KIL260" s="821"/>
      <c r="KIM260" s="821"/>
      <c r="KIN260" s="821"/>
      <c r="KIO260" s="821"/>
      <c r="KIP260" s="821"/>
      <c r="KIQ260" s="821"/>
      <c r="KIR260" s="821"/>
      <c r="KIS260" s="821"/>
      <c r="KIT260" s="821"/>
      <c r="KIU260" s="821"/>
      <c r="KIV260" s="821"/>
      <c r="KIW260" s="821"/>
      <c r="KIX260" s="821"/>
      <c r="KIY260" s="821"/>
      <c r="KIZ260" s="821"/>
      <c r="KJA260" s="821"/>
      <c r="KJB260" s="821"/>
      <c r="KJC260" s="575"/>
      <c r="KJD260" s="821"/>
      <c r="KJE260" s="821"/>
      <c r="KJF260" s="821"/>
      <c r="KJG260" s="821"/>
      <c r="KJH260" s="821"/>
      <c r="KJI260" s="821"/>
      <c r="KJJ260" s="821"/>
      <c r="KJK260" s="821"/>
      <c r="KJL260" s="821"/>
      <c r="KJM260" s="821"/>
      <c r="KJN260" s="821"/>
      <c r="KJO260" s="821"/>
      <c r="KJP260" s="821"/>
      <c r="KJQ260" s="821"/>
      <c r="KJR260" s="821"/>
      <c r="KJS260" s="821"/>
      <c r="KJT260" s="821"/>
      <c r="KJU260" s="821"/>
      <c r="KJV260" s="821"/>
      <c r="KJW260" s="575"/>
      <c r="KJX260" s="821"/>
      <c r="KJY260" s="821"/>
      <c r="KJZ260" s="821"/>
      <c r="KKA260" s="821"/>
      <c r="KKB260" s="821"/>
      <c r="KKC260" s="821"/>
      <c r="KKD260" s="821"/>
      <c r="KKE260" s="821"/>
      <c r="KKF260" s="821"/>
      <c r="KKG260" s="821"/>
      <c r="KKH260" s="821"/>
      <c r="KKI260" s="821"/>
      <c r="KKJ260" s="821"/>
      <c r="KKK260" s="821"/>
      <c r="KKL260" s="821"/>
      <c r="KKM260" s="821"/>
      <c r="KKN260" s="821"/>
      <c r="KKO260" s="821"/>
      <c r="KKP260" s="821"/>
      <c r="KKQ260" s="575"/>
      <c r="KKR260" s="821"/>
      <c r="KKS260" s="821"/>
      <c r="KKT260" s="821"/>
      <c r="KKU260" s="821"/>
      <c r="KKV260" s="821"/>
      <c r="KKW260" s="821"/>
      <c r="KKX260" s="821"/>
      <c r="KKY260" s="821"/>
      <c r="KKZ260" s="821"/>
      <c r="KLA260" s="821"/>
      <c r="KLB260" s="821"/>
      <c r="KLC260" s="821"/>
      <c r="KLD260" s="821"/>
      <c r="KLE260" s="821"/>
      <c r="KLF260" s="821"/>
      <c r="KLG260" s="821"/>
      <c r="KLH260" s="821"/>
      <c r="KLI260" s="821"/>
      <c r="KLJ260" s="821"/>
      <c r="KLK260" s="575"/>
      <c r="KLL260" s="821"/>
      <c r="KLM260" s="821"/>
      <c r="KLN260" s="821"/>
      <c r="KLO260" s="821"/>
      <c r="KLP260" s="821"/>
      <c r="KLQ260" s="821"/>
      <c r="KLR260" s="821"/>
      <c r="KLS260" s="821"/>
      <c r="KLT260" s="821"/>
      <c r="KLU260" s="821"/>
      <c r="KLV260" s="821"/>
      <c r="KLW260" s="821"/>
      <c r="KLX260" s="821"/>
      <c r="KLY260" s="821"/>
      <c r="KLZ260" s="821"/>
      <c r="KMA260" s="821"/>
      <c r="KMB260" s="821"/>
      <c r="KMC260" s="821"/>
      <c r="KMD260" s="821"/>
      <c r="KME260" s="575"/>
      <c r="KMF260" s="821"/>
      <c r="KMG260" s="821"/>
      <c r="KMH260" s="821"/>
      <c r="KMI260" s="821"/>
      <c r="KMJ260" s="821"/>
      <c r="KMK260" s="821"/>
      <c r="KML260" s="821"/>
      <c r="KMM260" s="821"/>
      <c r="KMN260" s="821"/>
      <c r="KMO260" s="821"/>
      <c r="KMP260" s="821"/>
      <c r="KMQ260" s="821"/>
      <c r="KMR260" s="821"/>
      <c r="KMS260" s="821"/>
      <c r="KMT260" s="821"/>
      <c r="KMU260" s="821"/>
      <c r="KMV260" s="821"/>
      <c r="KMW260" s="821"/>
      <c r="KMX260" s="821"/>
      <c r="KMY260" s="575"/>
      <c r="KMZ260" s="821"/>
      <c r="KNA260" s="821"/>
      <c r="KNB260" s="821"/>
      <c r="KNC260" s="821"/>
      <c r="KND260" s="821"/>
      <c r="KNE260" s="821"/>
      <c r="KNF260" s="821"/>
      <c r="KNG260" s="821"/>
      <c r="KNH260" s="821"/>
      <c r="KNI260" s="821"/>
      <c r="KNJ260" s="821"/>
      <c r="KNK260" s="821"/>
      <c r="KNL260" s="821"/>
      <c r="KNM260" s="821"/>
      <c r="KNN260" s="821"/>
      <c r="KNO260" s="821"/>
      <c r="KNP260" s="821"/>
      <c r="KNQ260" s="821"/>
      <c r="KNR260" s="821"/>
      <c r="KNS260" s="575"/>
      <c r="KNT260" s="821"/>
      <c r="KNU260" s="821"/>
      <c r="KNV260" s="821"/>
      <c r="KNW260" s="821"/>
      <c r="KNX260" s="821"/>
      <c r="KNY260" s="821"/>
      <c r="KNZ260" s="821"/>
      <c r="KOA260" s="821"/>
      <c r="KOB260" s="821"/>
      <c r="KOC260" s="821"/>
      <c r="KOD260" s="821"/>
      <c r="KOE260" s="821"/>
      <c r="KOF260" s="821"/>
      <c r="KOG260" s="821"/>
      <c r="KOH260" s="821"/>
      <c r="KOI260" s="821"/>
      <c r="KOJ260" s="821"/>
      <c r="KOK260" s="821"/>
      <c r="KOL260" s="821"/>
      <c r="KOM260" s="575"/>
      <c r="KON260" s="821"/>
      <c r="KOO260" s="821"/>
      <c r="KOP260" s="821"/>
      <c r="KOQ260" s="821"/>
      <c r="KOR260" s="821"/>
      <c r="KOS260" s="821"/>
      <c r="KOT260" s="821"/>
      <c r="KOU260" s="821"/>
      <c r="KOV260" s="821"/>
      <c r="KOW260" s="821"/>
      <c r="KOX260" s="821"/>
      <c r="KOY260" s="821"/>
      <c r="KOZ260" s="821"/>
      <c r="KPA260" s="821"/>
      <c r="KPB260" s="821"/>
      <c r="KPC260" s="821"/>
      <c r="KPD260" s="821"/>
      <c r="KPE260" s="821"/>
      <c r="KPF260" s="821"/>
      <c r="KPG260" s="575"/>
      <c r="KPH260" s="821"/>
      <c r="KPI260" s="821"/>
      <c r="KPJ260" s="821"/>
      <c r="KPK260" s="821"/>
      <c r="KPL260" s="821"/>
      <c r="KPM260" s="821"/>
      <c r="KPN260" s="821"/>
      <c r="KPO260" s="821"/>
      <c r="KPP260" s="821"/>
      <c r="KPQ260" s="821"/>
      <c r="KPR260" s="821"/>
      <c r="KPS260" s="821"/>
      <c r="KPT260" s="821"/>
      <c r="KPU260" s="821"/>
      <c r="KPV260" s="821"/>
      <c r="KPW260" s="821"/>
      <c r="KPX260" s="821"/>
      <c r="KPY260" s="821"/>
      <c r="KPZ260" s="821"/>
      <c r="KQA260" s="575"/>
      <c r="KQB260" s="821"/>
      <c r="KQC260" s="821"/>
      <c r="KQD260" s="821"/>
      <c r="KQE260" s="821"/>
      <c r="KQF260" s="821"/>
      <c r="KQG260" s="821"/>
      <c r="KQH260" s="821"/>
      <c r="KQI260" s="821"/>
      <c r="KQJ260" s="821"/>
      <c r="KQK260" s="821"/>
      <c r="KQL260" s="821"/>
      <c r="KQM260" s="821"/>
      <c r="KQN260" s="821"/>
      <c r="KQO260" s="821"/>
      <c r="KQP260" s="821"/>
      <c r="KQQ260" s="821"/>
      <c r="KQR260" s="821"/>
      <c r="KQS260" s="821"/>
      <c r="KQT260" s="821"/>
      <c r="KQU260" s="575"/>
      <c r="KQV260" s="821"/>
      <c r="KQW260" s="821"/>
      <c r="KQX260" s="821"/>
      <c r="KQY260" s="821"/>
      <c r="KQZ260" s="821"/>
      <c r="KRA260" s="821"/>
      <c r="KRB260" s="821"/>
      <c r="KRC260" s="821"/>
      <c r="KRD260" s="821"/>
      <c r="KRE260" s="821"/>
      <c r="KRF260" s="821"/>
      <c r="KRG260" s="821"/>
      <c r="KRH260" s="821"/>
      <c r="KRI260" s="821"/>
      <c r="KRJ260" s="821"/>
      <c r="KRK260" s="821"/>
      <c r="KRL260" s="821"/>
      <c r="KRM260" s="821"/>
      <c r="KRN260" s="821"/>
      <c r="KRO260" s="575"/>
      <c r="KRP260" s="821"/>
      <c r="KRQ260" s="821"/>
      <c r="KRR260" s="821"/>
      <c r="KRS260" s="821"/>
      <c r="KRT260" s="821"/>
      <c r="KRU260" s="821"/>
      <c r="KRV260" s="821"/>
      <c r="KRW260" s="821"/>
      <c r="KRX260" s="821"/>
      <c r="KRY260" s="821"/>
      <c r="KRZ260" s="821"/>
      <c r="KSA260" s="821"/>
      <c r="KSB260" s="821"/>
      <c r="KSC260" s="821"/>
      <c r="KSD260" s="821"/>
      <c r="KSE260" s="821"/>
      <c r="KSF260" s="821"/>
      <c r="KSG260" s="821"/>
      <c r="KSH260" s="821"/>
      <c r="KSI260" s="575"/>
      <c r="KSJ260" s="821"/>
      <c r="KSK260" s="821"/>
      <c r="KSL260" s="821"/>
      <c r="KSM260" s="821"/>
      <c r="KSN260" s="821"/>
      <c r="KSO260" s="821"/>
      <c r="KSP260" s="821"/>
      <c r="KSQ260" s="821"/>
      <c r="KSR260" s="821"/>
      <c r="KSS260" s="821"/>
      <c r="KST260" s="821"/>
      <c r="KSU260" s="821"/>
      <c r="KSV260" s="821"/>
      <c r="KSW260" s="821"/>
      <c r="KSX260" s="821"/>
      <c r="KSY260" s="821"/>
      <c r="KSZ260" s="821"/>
      <c r="KTA260" s="821"/>
      <c r="KTB260" s="821"/>
      <c r="KTC260" s="575"/>
      <c r="KTD260" s="821"/>
      <c r="KTE260" s="821"/>
      <c r="KTF260" s="821"/>
      <c r="KTG260" s="821"/>
      <c r="KTH260" s="821"/>
      <c r="KTI260" s="821"/>
      <c r="KTJ260" s="821"/>
      <c r="KTK260" s="821"/>
      <c r="KTL260" s="821"/>
      <c r="KTM260" s="821"/>
      <c r="KTN260" s="821"/>
      <c r="KTO260" s="821"/>
      <c r="KTP260" s="821"/>
      <c r="KTQ260" s="821"/>
      <c r="KTR260" s="821"/>
      <c r="KTS260" s="821"/>
      <c r="KTT260" s="821"/>
      <c r="KTU260" s="821"/>
      <c r="KTV260" s="821"/>
      <c r="KTW260" s="575"/>
      <c r="KTX260" s="821"/>
      <c r="KTY260" s="821"/>
      <c r="KTZ260" s="821"/>
      <c r="KUA260" s="821"/>
      <c r="KUB260" s="821"/>
      <c r="KUC260" s="821"/>
      <c r="KUD260" s="821"/>
      <c r="KUE260" s="821"/>
      <c r="KUF260" s="821"/>
      <c r="KUG260" s="821"/>
      <c r="KUH260" s="821"/>
      <c r="KUI260" s="821"/>
      <c r="KUJ260" s="821"/>
      <c r="KUK260" s="821"/>
      <c r="KUL260" s="821"/>
      <c r="KUM260" s="821"/>
      <c r="KUN260" s="821"/>
      <c r="KUO260" s="821"/>
      <c r="KUP260" s="821"/>
      <c r="KUQ260" s="575"/>
      <c r="KUR260" s="821"/>
      <c r="KUS260" s="821"/>
      <c r="KUT260" s="821"/>
      <c r="KUU260" s="821"/>
      <c r="KUV260" s="821"/>
      <c r="KUW260" s="821"/>
      <c r="KUX260" s="821"/>
      <c r="KUY260" s="821"/>
      <c r="KUZ260" s="821"/>
      <c r="KVA260" s="821"/>
      <c r="KVB260" s="821"/>
      <c r="KVC260" s="821"/>
      <c r="KVD260" s="821"/>
      <c r="KVE260" s="821"/>
      <c r="KVF260" s="821"/>
      <c r="KVG260" s="821"/>
      <c r="KVH260" s="821"/>
      <c r="KVI260" s="821"/>
      <c r="KVJ260" s="821"/>
      <c r="KVK260" s="575"/>
      <c r="KVL260" s="821"/>
      <c r="KVM260" s="821"/>
      <c r="KVN260" s="821"/>
      <c r="KVO260" s="821"/>
      <c r="KVP260" s="821"/>
      <c r="KVQ260" s="821"/>
      <c r="KVR260" s="821"/>
      <c r="KVS260" s="821"/>
      <c r="KVT260" s="821"/>
      <c r="KVU260" s="821"/>
      <c r="KVV260" s="821"/>
      <c r="KVW260" s="821"/>
      <c r="KVX260" s="821"/>
      <c r="KVY260" s="821"/>
      <c r="KVZ260" s="821"/>
      <c r="KWA260" s="821"/>
      <c r="KWB260" s="821"/>
      <c r="KWC260" s="821"/>
      <c r="KWD260" s="821"/>
      <c r="KWE260" s="575"/>
      <c r="KWF260" s="821"/>
      <c r="KWG260" s="821"/>
      <c r="KWH260" s="821"/>
      <c r="KWI260" s="821"/>
      <c r="KWJ260" s="821"/>
      <c r="KWK260" s="821"/>
      <c r="KWL260" s="821"/>
      <c r="KWM260" s="821"/>
      <c r="KWN260" s="821"/>
      <c r="KWO260" s="821"/>
      <c r="KWP260" s="821"/>
      <c r="KWQ260" s="821"/>
      <c r="KWR260" s="821"/>
      <c r="KWS260" s="821"/>
      <c r="KWT260" s="821"/>
      <c r="KWU260" s="821"/>
      <c r="KWV260" s="821"/>
      <c r="KWW260" s="821"/>
      <c r="KWX260" s="821"/>
      <c r="KWY260" s="575"/>
      <c r="KWZ260" s="821"/>
      <c r="KXA260" s="821"/>
      <c r="KXB260" s="821"/>
      <c r="KXC260" s="821"/>
      <c r="KXD260" s="821"/>
      <c r="KXE260" s="821"/>
      <c r="KXF260" s="821"/>
      <c r="KXG260" s="821"/>
      <c r="KXH260" s="821"/>
      <c r="KXI260" s="821"/>
      <c r="KXJ260" s="821"/>
      <c r="KXK260" s="821"/>
      <c r="KXL260" s="821"/>
      <c r="KXM260" s="821"/>
      <c r="KXN260" s="821"/>
      <c r="KXO260" s="821"/>
      <c r="KXP260" s="821"/>
      <c r="KXQ260" s="821"/>
      <c r="KXR260" s="821"/>
      <c r="KXS260" s="575"/>
      <c r="KXT260" s="821"/>
      <c r="KXU260" s="821"/>
      <c r="KXV260" s="821"/>
      <c r="KXW260" s="821"/>
      <c r="KXX260" s="821"/>
      <c r="KXY260" s="821"/>
      <c r="KXZ260" s="821"/>
      <c r="KYA260" s="821"/>
      <c r="KYB260" s="821"/>
      <c r="KYC260" s="821"/>
      <c r="KYD260" s="821"/>
      <c r="KYE260" s="821"/>
      <c r="KYF260" s="821"/>
      <c r="KYG260" s="821"/>
      <c r="KYH260" s="821"/>
      <c r="KYI260" s="821"/>
      <c r="KYJ260" s="821"/>
      <c r="KYK260" s="821"/>
      <c r="KYL260" s="821"/>
      <c r="KYM260" s="575"/>
      <c r="KYN260" s="821"/>
      <c r="KYO260" s="821"/>
      <c r="KYP260" s="821"/>
      <c r="KYQ260" s="821"/>
      <c r="KYR260" s="821"/>
      <c r="KYS260" s="821"/>
      <c r="KYT260" s="821"/>
      <c r="KYU260" s="821"/>
      <c r="KYV260" s="821"/>
      <c r="KYW260" s="821"/>
      <c r="KYX260" s="821"/>
      <c r="KYY260" s="821"/>
      <c r="KYZ260" s="821"/>
      <c r="KZA260" s="821"/>
      <c r="KZB260" s="821"/>
      <c r="KZC260" s="821"/>
      <c r="KZD260" s="821"/>
      <c r="KZE260" s="821"/>
      <c r="KZF260" s="821"/>
      <c r="KZG260" s="575"/>
      <c r="KZH260" s="821"/>
      <c r="KZI260" s="821"/>
      <c r="KZJ260" s="821"/>
      <c r="KZK260" s="821"/>
      <c r="KZL260" s="821"/>
      <c r="KZM260" s="821"/>
      <c r="KZN260" s="821"/>
      <c r="KZO260" s="821"/>
      <c r="KZP260" s="821"/>
      <c r="KZQ260" s="821"/>
      <c r="KZR260" s="821"/>
      <c r="KZS260" s="821"/>
      <c r="KZT260" s="821"/>
      <c r="KZU260" s="821"/>
      <c r="KZV260" s="821"/>
      <c r="KZW260" s="821"/>
      <c r="KZX260" s="821"/>
      <c r="KZY260" s="821"/>
      <c r="KZZ260" s="821"/>
      <c r="LAA260" s="575"/>
      <c r="LAB260" s="821"/>
      <c r="LAC260" s="821"/>
      <c r="LAD260" s="821"/>
      <c r="LAE260" s="821"/>
      <c r="LAF260" s="821"/>
      <c r="LAG260" s="821"/>
      <c r="LAH260" s="821"/>
      <c r="LAI260" s="821"/>
      <c r="LAJ260" s="821"/>
      <c r="LAK260" s="821"/>
      <c r="LAL260" s="821"/>
      <c r="LAM260" s="821"/>
      <c r="LAN260" s="821"/>
      <c r="LAO260" s="821"/>
      <c r="LAP260" s="821"/>
      <c r="LAQ260" s="821"/>
      <c r="LAR260" s="821"/>
      <c r="LAS260" s="821"/>
      <c r="LAT260" s="821"/>
      <c r="LAU260" s="575"/>
      <c r="LAV260" s="821"/>
      <c r="LAW260" s="821"/>
      <c r="LAX260" s="821"/>
      <c r="LAY260" s="821"/>
      <c r="LAZ260" s="821"/>
      <c r="LBA260" s="821"/>
      <c r="LBB260" s="821"/>
      <c r="LBC260" s="821"/>
      <c r="LBD260" s="821"/>
      <c r="LBE260" s="821"/>
      <c r="LBF260" s="821"/>
      <c r="LBG260" s="821"/>
      <c r="LBH260" s="821"/>
      <c r="LBI260" s="821"/>
      <c r="LBJ260" s="821"/>
      <c r="LBK260" s="821"/>
      <c r="LBL260" s="821"/>
      <c r="LBM260" s="821"/>
      <c r="LBN260" s="821"/>
      <c r="LBO260" s="575"/>
      <c r="LBP260" s="821"/>
      <c r="LBQ260" s="821"/>
      <c r="LBR260" s="821"/>
      <c r="LBS260" s="821"/>
      <c r="LBT260" s="821"/>
      <c r="LBU260" s="821"/>
      <c r="LBV260" s="821"/>
      <c r="LBW260" s="821"/>
      <c r="LBX260" s="821"/>
      <c r="LBY260" s="821"/>
      <c r="LBZ260" s="821"/>
      <c r="LCA260" s="821"/>
      <c r="LCB260" s="821"/>
      <c r="LCC260" s="821"/>
      <c r="LCD260" s="821"/>
      <c r="LCE260" s="821"/>
      <c r="LCF260" s="821"/>
      <c r="LCG260" s="821"/>
      <c r="LCH260" s="821"/>
      <c r="LCI260" s="575"/>
      <c r="LCJ260" s="821"/>
      <c r="LCK260" s="821"/>
      <c r="LCL260" s="821"/>
      <c r="LCM260" s="821"/>
      <c r="LCN260" s="821"/>
      <c r="LCO260" s="821"/>
      <c r="LCP260" s="821"/>
      <c r="LCQ260" s="821"/>
      <c r="LCR260" s="821"/>
      <c r="LCS260" s="821"/>
      <c r="LCT260" s="821"/>
      <c r="LCU260" s="821"/>
      <c r="LCV260" s="821"/>
      <c r="LCW260" s="821"/>
      <c r="LCX260" s="821"/>
      <c r="LCY260" s="821"/>
      <c r="LCZ260" s="821"/>
      <c r="LDA260" s="821"/>
      <c r="LDB260" s="821"/>
      <c r="LDC260" s="575"/>
      <c r="LDD260" s="821"/>
      <c r="LDE260" s="821"/>
      <c r="LDF260" s="821"/>
      <c r="LDG260" s="821"/>
      <c r="LDH260" s="821"/>
      <c r="LDI260" s="821"/>
      <c r="LDJ260" s="821"/>
      <c r="LDK260" s="821"/>
      <c r="LDL260" s="821"/>
      <c r="LDM260" s="821"/>
      <c r="LDN260" s="821"/>
      <c r="LDO260" s="821"/>
      <c r="LDP260" s="821"/>
      <c r="LDQ260" s="821"/>
      <c r="LDR260" s="821"/>
      <c r="LDS260" s="821"/>
      <c r="LDT260" s="821"/>
      <c r="LDU260" s="821"/>
      <c r="LDV260" s="821"/>
      <c r="LDW260" s="575"/>
      <c r="LDX260" s="821"/>
      <c r="LDY260" s="821"/>
      <c r="LDZ260" s="821"/>
      <c r="LEA260" s="821"/>
      <c r="LEB260" s="821"/>
      <c r="LEC260" s="821"/>
      <c r="LED260" s="821"/>
      <c r="LEE260" s="821"/>
      <c r="LEF260" s="821"/>
      <c r="LEG260" s="821"/>
      <c r="LEH260" s="821"/>
      <c r="LEI260" s="821"/>
      <c r="LEJ260" s="821"/>
      <c r="LEK260" s="821"/>
      <c r="LEL260" s="821"/>
      <c r="LEM260" s="821"/>
      <c r="LEN260" s="821"/>
      <c r="LEO260" s="821"/>
      <c r="LEP260" s="821"/>
      <c r="LEQ260" s="575"/>
      <c r="LER260" s="821"/>
      <c r="LES260" s="821"/>
      <c r="LET260" s="821"/>
      <c r="LEU260" s="821"/>
      <c r="LEV260" s="821"/>
      <c r="LEW260" s="821"/>
      <c r="LEX260" s="821"/>
      <c r="LEY260" s="821"/>
      <c r="LEZ260" s="821"/>
      <c r="LFA260" s="821"/>
      <c r="LFB260" s="821"/>
      <c r="LFC260" s="821"/>
      <c r="LFD260" s="821"/>
      <c r="LFE260" s="821"/>
      <c r="LFF260" s="821"/>
      <c r="LFG260" s="821"/>
      <c r="LFH260" s="821"/>
      <c r="LFI260" s="821"/>
      <c r="LFJ260" s="821"/>
      <c r="LFK260" s="575"/>
      <c r="LFL260" s="821"/>
      <c r="LFM260" s="821"/>
      <c r="LFN260" s="821"/>
      <c r="LFO260" s="821"/>
      <c r="LFP260" s="821"/>
      <c r="LFQ260" s="821"/>
      <c r="LFR260" s="821"/>
      <c r="LFS260" s="821"/>
      <c r="LFT260" s="821"/>
      <c r="LFU260" s="821"/>
      <c r="LFV260" s="821"/>
      <c r="LFW260" s="821"/>
      <c r="LFX260" s="821"/>
      <c r="LFY260" s="821"/>
      <c r="LFZ260" s="821"/>
      <c r="LGA260" s="821"/>
      <c r="LGB260" s="821"/>
      <c r="LGC260" s="821"/>
      <c r="LGD260" s="821"/>
      <c r="LGE260" s="575"/>
      <c r="LGF260" s="821"/>
      <c r="LGG260" s="821"/>
      <c r="LGH260" s="821"/>
      <c r="LGI260" s="821"/>
      <c r="LGJ260" s="821"/>
      <c r="LGK260" s="821"/>
      <c r="LGL260" s="821"/>
      <c r="LGM260" s="821"/>
      <c r="LGN260" s="821"/>
      <c r="LGO260" s="821"/>
      <c r="LGP260" s="821"/>
      <c r="LGQ260" s="821"/>
      <c r="LGR260" s="821"/>
      <c r="LGS260" s="821"/>
      <c r="LGT260" s="821"/>
      <c r="LGU260" s="821"/>
      <c r="LGV260" s="821"/>
      <c r="LGW260" s="821"/>
      <c r="LGX260" s="821"/>
      <c r="LGY260" s="575"/>
      <c r="LGZ260" s="821"/>
      <c r="LHA260" s="821"/>
      <c r="LHB260" s="821"/>
      <c r="LHC260" s="821"/>
      <c r="LHD260" s="821"/>
      <c r="LHE260" s="821"/>
      <c r="LHF260" s="821"/>
      <c r="LHG260" s="821"/>
      <c r="LHH260" s="821"/>
      <c r="LHI260" s="821"/>
      <c r="LHJ260" s="821"/>
      <c r="LHK260" s="821"/>
      <c r="LHL260" s="821"/>
      <c r="LHM260" s="821"/>
      <c r="LHN260" s="821"/>
      <c r="LHO260" s="821"/>
      <c r="LHP260" s="821"/>
      <c r="LHQ260" s="821"/>
      <c r="LHR260" s="821"/>
      <c r="LHS260" s="575"/>
      <c r="LHT260" s="821"/>
      <c r="LHU260" s="821"/>
      <c r="LHV260" s="821"/>
      <c r="LHW260" s="821"/>
      <c r="LHX260" s="821"/>
      <c r="LHY260" s="821"/>
      <c r="LHZ260" s="821"/>
      <c r="LIA260" s="821"/>
      <c r="LIB260" s="821"/>
      <c r="LIC260" s="821"/>
      <c r="LID260" s="821"/>
      <c r="LIE260" s="821"/>
      <c r="LIF260" s="821"/>
      <c r="LIG260" s="821"/>
      <c r="LIH260" s="821"/>
      <c r="LII260" s="821"/>
      <c r="LIJ260" s="821"/>
      <c r="LIK260" s="821"/>
      <c r="LIL260" s="821"/>
      <c r="LIM260" s="575"/>
      <c r="LIN260" s="821"/>
      <c r="LIO260" s="821"/>
      <c r="LIP260" s="821"/>
      <c r="LIQ260" s="821"/>
      <c r="LIR260" s="821"/>
      <c r="LIS260" s="821"/>
      <c r="LIT260" s="821"/>
      <c r="LIU260" s="821"/>
      <c r="LIV260" s="821"/>
      <c r="LIW260" s="821"/>
      <c r="LIX260" s="821"/>
      <c r="LIY260" s="821"/>
      <c r="LIZ260" s="821"/>
      <c r="LJA260" s="821"/>
      <c r="LJB260" s="821"/>
      <c r="LJC260" s="821"/>
      <c r="LJD260" s="821"/>
      <c r="LJE260" s="821"/>
      <c r="LJF260" s="821"/>
      <c r="LJG260" s="575"/>
      <c r="LJH260" s="821"/>
      <c r="LJI260" s="821"/>
      <c r="LJJ260" s="821"/>
      <c r="LJK260" s="821"/>
      <c r="LJL260" s="821"/>
      <c r="LJM260" s="821"/>
      <c r="LJN260" s="821"/>
      <c r="LJO260" s="821"/>
      <c r="LJP260" s="821"/>
      <c r="LJQ260" s="821"/>
      <c r="LJR260" s="821"/>
      <c r="LJS260" s="821"/>
      <c r="LJT260" s="821"/>
      <c r="LJU260" s="821"/>
      <c r="LJV260" s="821"/>
      <c r="LJW260" s="821"/>
      <c r="LJX260" s="821"/>
      <c r="LJY260" s="821"/>
      <c r="LJZ260" s="821"/>
      <c r="LKA260" s="575"/>
      <c r="LKB260" s="821"/>
      <c r="LKC260" s="821"/>
      <c r="LKD260" s="821"/>
      <c r="LKE260" s="821"/>
      <c r="LKF260" s="821"/>
      <c r="LKG260" s="821"/>
      <c r="LKH260" s="821"/>
      <c r="LKI260" s="821"/>
      <c r="LKJ260" s="821"/>
      <c r="LKK260" s="821"/>
      <c r="LKL260" s="821"/>
      <c r="LKM260" s="821"/>
      <c r="LKN260" s="821"/>
      <c r="LKO260" s="821"/>
      <c r="LKP260" s="821"/>
      <c r="LKQ260" s="821"/>
      <c r="LKR260" s="821"/>
      <c r="LKS260" s="821"/>
      <c r="LKT260" s="821"/>
      <c r="LKU260" s="575"/>
      <c r="LKV260" s="821"/>
      <c r="LKW260" s="821"/>
      <c r="LKX260" s="821"/>
      <c r="LKY260" s="821"/>
      <c r="LKZ260" s="821"/>
      <c r="LLA260" s="821"/>
      <c r="LLB260" s="821"/>
      <c r="LLC260" s="821"/>
      <c r="LLD260" s="821"/>
      <c r="LLE260" s="821"/>
      <c r="LLF260" s="821"/>
      <c r="LLG260" s="821"/>
      <c r="LLH260" s="821"/>
      <c r="LLI260" s="821"/>
      <c r="LLJ260" s="821"/>
      <c r="LLK260" s="821"/>
      <c r="LLL260" s="821"/>
      <c r="LLM260" s="821"/>
      <c r="LLN260" s="821"/>
      <c r="LLO260" s="575"/>
      <c r="LLP260" s="821"/>
      <c r="LLQ260" s="821"/>
      <c r="LLR260" s="821"/>
      <c r="LLS260" s="821"/>
      <c r="LLT260" s="821"/>
      <c r="LLU260" s="821"/>
      <c r="LLV260" s="821"/>
      <c r="LLW260" s="821"/>
      <c r="LLX260" s="821"/>
      <c r="LLY260" s="821"/>
      <c r="LLZ260" s="821"/>
      <c r="LMA260" s="821"/>
      <c r="LMB260" s="821"/>
      <c r="LMC260" s="821"/>
      <c r="LMD260" s="821"/>
      <c r="LME260" s="821"/>
      <c r="LMF260" s="821"/>
      <c r="LMG260" s="821"/>
      <c r="LMH260" s="821"/>
      <c r="LMI260" s="575"/>
      <c r="LMJ260" s="821"/>
      <c r="LMK260" s="821"/>
      <c r="LML260" s="821"/>
      <c r="LMM260" s="821"/>
      <c r="LMN260" s="821"/>
      <c r="LMO260" s="821"/>
      <c r="LMP260" s="821"/>
      <c r="LMQ260" s="821"/>
      <c r="LMR260" s="821"/>
      <c r="LMS260" s="821"/>
      <c r="LMT260" s="821"/>
      <c r="LMU260" s="821"/>
      <c r="LMV260" s="821"/>
      <c r="LMW260" s="821"/>
      <c r="LMX260" s="821"/>
      <c r="LMY260" s="821"/>
      <c r="LMZ260" s="821"/>
      <c r="LNA260" s="821"/>
      <c r="LNB260" s="821"/>
      <c r="LNC260" s="575"/>
      <c r="LND260" s="821"/>
      <c r="LNE260" s="821"/>
      <c r="LNF260" s="821"/>
      <c r="LNG260" s="821"/>
      <c r="LNH260" s="821"/>
      <c r="LNI260" s="821"/>
      <c r="LNJ260" s="821"/>
      <c r="LNK260" s="821"/>
      <c r="LNL260" s="821"/>
      <c r="LNM260" s="821"/>
      <c r="LNN260" s="821"/>
      <c r="LNO260" s="821"/>
      <c r="LNP260" s="821"/>
      <c r="LNQ260" s="821"/>
      <c r="LNR260" s="821"/>
      <c r="LNS260" s="821"/>
      <c r="LNT260" s="821"/>
      <c r="LNU260" s="821"/>
      <c r="LNV260" s="821"/>
      <c r="LNW260" s="575"/>
      <c r="LNX260" s="821"/>
      <c r="LNY260" s="821"/>
      <c r="LNZ260" s="821"/>
      <c r="LOA260" s="821"/>
      <c r="LOB260" s="821"/>
      <c r="LOC260" s="821"/>
      <c r="LOD260" s="821"/>
      <c r="LOE260" s="821"/>
      <c r="LOF260" s="821"/>
      <c r="LOG260" s="821"/>
      <c r="LOH260" s="821"/>
      <c r="LOI260" s="821"/>
      <c r="LOJ260" s="821"/>
      <c r="LOK260" s="821"/>
      <c r="LOL260" s="821"/>
      <c r="LOM260" s="821"/>
      <c r="LON260" s="821"/>
      <c r="LOO260" s="821"/>
      <c r="LOP260" s="821"/>
      <c r="LOQ260" s="575"/>
      <c r="LOR260" s="821"/>
      <c r="LOS260" s="821"/>
      <c r="LOT260" s="821"/>
      <c r="LOU260" s="821"/>
      <c r="LOV260" s="821"/>
      <c r="LOW260" s="821"/>
      <c r="LOX260" s="821"/>
      <c r="LOY260" s="821"/>
      <c r="LOZ260" s="821"/>
      <c r="LPA260" s="821"/>
      <c r="LPB260" s="821"/>
      <c r="LPC260" s="821"/>
      <c r="LPD260" s="821"/>
      <c r="LPE260" s="821"/>
      <c r="LPF260" s="821"/>
      <c r="LPG260" s="821"/>
      <c r="LPH260" s="821"/>
      <c r="LPI260" s="821"/>
      <c r="LPJ260" s="821"/>
      <c r="LPK260" s="575"/>
      <c r="LPL260" s="821"/>
      <c r="LPM260" s="821"/>
      <c r="LPN260" s="821"/>
      <c r="LPO260" s="821"/>
      <c r="LPP260" s="821"/>
      <c r="LPQ260" s="821"/>
      <c r="LPR260" s="821"/>
      <c r="LPS260" s="821"/>
      <c r="LPT260" s="821"/>
      <c r="LPU260" s="821"/>
      <c r="LPV260" s="821"/>
      <c r="LPW260" s="821"/>
      <c r="LPX260" s="821"/>
      <c r="LPY260" s="821"/>
      <c r="LPZ260" s="821"/>
      <c r="LQA260" s="821"/>
      <c r="LQB260" s="821"/>
      <c r="LQC260" s="821"/>
      <c r="LQD260" s="821"/>
      <c r="LQE260" s="575"/>
      <c r="LQF260" s="821"/>
      <c r="LQG260" s="821"/>
      <c r="LQH260" s="821"/>
      <c r="LQI260" s="821"/>
      <c r="LQJ260" s="821"/>
      <c r="LQK260" s="821"/>
      <c r="LQL260" s="821"/>
      <c r="LQM260" s="821"/>
      <c r="LQN260" s="821"/>
      <c r="LQO260" s="821"/>
      <c r="LQP260" s="821"/>
      <c r="LQQ260" s="821"/>
      <c r="LQR260" s="821"/>
      <c r="LQS260" s="821"/>
      <c r="LQT260" s="821"/>
      <c r="LQU260" s="821"/>
      <c r="LQV260" s="821"/>
      <c r="LQW260" s="821"/>
      <c r="LQX260" s="821"/>
      <c r="LQY260" s="575"/>
      <c r="LQZ260" s="821"/>
      <c r="LRA260" s="821"/>
      <c r="LRB260" s="821"/>
      <c r="LRC260" s="821"/>
      <c r="LRD260" s="821"/>
      <c r="LRE260" s="821"/>
      <c r="LRF260" s="821"/>
      <c r="LRG260" s="821"/>
      <c r="LRH260" s="821"/>
      <c r="LRI260" s="821"/>
      <c r="LRJ260" s="821"/>
      <c r="LRK260" s="821"/>
      <c r="LRL260" s="821"/>
      <c r="LRM260" s="821"/>
      <c r="LRN260" s="821"/>
      <c r="LRO260" s="821"/>
      <c r="LRP260" s="821"/>
      <c r="LRQ260" s="821"/>
      <c r="LRR260" s="821"/>
      <c r="LRS260" s="575"/>
      <c r="LRT260" s="821"/>
      <c r="LRU260" s="821"/>
      <c r="LRV260" s="821"/>
      <c r="LRW260" s="821"/>
      <c r="LRX260" s="821"/>
      <c r="LRY260" s="821"/>
      <c r="LRZ260" s="821"/>
      <c r="LSA260" s="821"/>
      <c r="LSB260" s="821"/>
      <c r="LSC260" s="821"/>
      <c r="LSD260" s="821"/>
      <c r="LSE260" s="821"/>
      <c r="LSF260" s="821"/>
      <c r="LSG260" s="821"/>
      <c r="LSH260" s="821"/>
      <c r="LSI260" s="821"/>
      <c r="LSJ260" s="821"/>
      <c r="LSK260" s="821"/>
      <c r="LSL260" s="821"/>
      <c r="LSM260" s="575"/>
      <c r="LSN260" s="821"/>
      <c r="LSO260" s="821"/>
      <c r="LSP260" s="821"/>
      <c r="LSQ260" s="821"/>
      <c r="LSR260" s="821"/>
      <c r="LSS260" s="821"/>
      <c r="LST260" s="821"/>
      <c r="LSU260" s="821"/>
      <c r="LSV260" s="821"/>
      <c r="LSW260" s="821"/>
      <c r="LSX260" s="821"/>
      <c r="LSY260" s="821"/>
      <c r="LSZ260" s="821"/>
      <c r="LTA260" s="821"/>
      <c r="LTB260" s="821"/>
      <c r="LTC260" s="821"/>
      <c r="LTD260" s="821"/>
      <c r="LTE260" s="821"/>
      <c r="LTF260" s="821"/>
      <c r="LTG260" s="575"/>
      <c r="LTH260" s="821"/>
      <c r="LTI260" s="821"/>
      <c r="LTJ260" s="821"/>
      <c r="LTK260" s="821"/>
      <c r="LTL260" s="821"/>
      <c r="LTM260" s="821"/>
      <c r="LTN260" s="821"/>
      <c r="LTO260" s="821"/>
      <c r="LTP260" s="821"/>
      <c r="LTQ260" s="821"/>
      <c r="LTR260" s="821"/>
      <c r="LTS260" s="821"/>
      <c r="LTT260" s="821"/>
      <c r="LTU260" s="821"/>
      <c r="LTV260" s="821"/>
      <c r="LTW260" s="821"/>
      <c r="LTX260" s="821"/>
      <c r="LTY260" s="821"/>
      <c r="LTZ260" s="821"/>
      <c r="LUA260" s="575"/>
      <c r="LUB260" s="821"/>
      <c r="LUC260" s="821"/>
      <c r="LUD260" s="821"/>
      <c r="LUE260" s="821"/>
      <c r="LUF260" s="821"/>
      <c r="LUG260" s="821"/>
      <c r="LUH260" s="821"/>
      <c r="LUI260" s="821"/>
      <c r="LUJ260" s="821"/>
      <c r="LUK260" s="821"/>
      <c r="LUL260" s="821"/>
      <c r="LUM260" s="821"/>
      <c r="LUN260" s="821"/>
      <c r="LUO260" s="821"/>
      <c r="LUP260" s="821"/>
      <c r="LUQ260" s="821"/>
      <c r="LUR260" s="821"/>
      <c r="LUS260" s="821"/>
      <c r="LUT260" s="821"/>
      <c r="LUU260" s="575"/>
      <c r="LUV260" s="821"/>
      <c r="LUW260" s="821"/>
      <c r="LUX260" s="821"/>
      <c r="LUY260" s="821"/>
      <c r="LUZ260" s="821"/>
      <c r="LVA260" s="821"/>
      <c r="LVB260" s="821"/>
      <c r="LVC260" s="821"/>
      <c r="LVD260" s="821"/>
      <c r="LVE260" s="821"/>
      <c r="LVF260" s="821"/>
      <c r="LVG260" s="821"/>
      <c r="LVH260" s="821"/>
      <c r="LVI260" s="821"/>
      <c r="LVJ260" s="821"/>
      <c r="LVK260" s="821"/>
      <c r="LVL260" s="821"/>
      <c r="LVM260" s="821"/>
      <c r="LVN260" s="821"/>
      <c r="LVO260" s="575"/>
      <c r="LVP260" s="821"/>
      <c r="LVQ260" s="821"/>
      <c r="LVR260" s="821"/>
      <c r="LVS260" s="821"/>
      <c r="LVT260" s="821"/>
      <c r="LVU260" s="821"/>
      <c r="LVV260" s="821"/>
      <c r="LVW260" s="821"/>
      <c r="LVX260" s="821"/>
      <c r="LVY260" s="821"/>
      <c r="LVZ260" s="821"/>
      <c r="LWA260" s="821"/>
      <c r="LWB260" s="821"/>
      <c r="LWC260" s="821"/>
      <c r="LWD260" s="821"/>
      <c r="LWE260" s="821"/>
      <c r="LWF260" s="821"/>
      <c r="LWG260" s="821"/>
      <c r="LWH260" s="821"/>
      <c r="LWI260" s="575"/>
      <c r="LWJ260" s="821"/>
      <c r="LWK260" s="821"/>
      <c r="LWL260" s="821"/>
      <c r="LWM260" s="821"/>
      <c r="LWN260" s="821"/>
      <c r="LWO260" s="821"/>
      <c r="LWP260" s="821"/>
      <c r="LWQ260" s="821"/>
      <c r="LWR260" s="821"/>
      <c r="LWS260" s="821"/>
      <c r="LWT260" s="821"/>
      <c r="LWU260" s="821"/>
      <c r="LWV260" s="821"/>
      <c r="LWW260" s="821"/>
      <c r="LWX260" s="821"/>
      <c r="LWY260" s="821"/>
      <c r="LWZ260" s="821"/>
      <c r="LXA260" s="821"/>
      <c r="LXB260" s="821"/>
      <c r="LXC260" s="575"/>
      <c r="LXD260" s="821"/>
      <c r="LXE260" s="821"/>
      <c r="LXF260" s="821"/>
      <c r="LXG260" s="821"/>
      <c r="LXH260" s="821"/>
      <c r="LXI260" s="821"/>
      <c r="LXJ260" s="821"/>
      <c r="LXK260" s="821"/>
      <c r="LXL260" s="821"/>
      <c r="LXM260" s="821"/>
      <c r="LXN260" s="821"/>
      <c r="LXO260" s="821"/>
      <c r="LXP260" s="821"/>
      <c r="LXQ260" s="821"/>
      <c r="LXR260" s="821"/>
      <c r="LXS260" s="821"/>
      <c r="LXT260" s="821"/>
      <c r="LXU260" s="821"/>
      <c r="LXV260" s="821"/>
      <c r="LXW260" s="575"/>
      <c r="LXX260" s="821"/>
      <c r="LXY260" s="821"/>
      <c r="LXZ260" s="821"/>
      <c r="LYA260" s="821"/>
      <c r="LYB260" s="821"/>
      <c r="LYC260" s="821"/>
      <c r="LYD260" s="821"/>
      <c r="LYE260" s="821"/>
      <c r="LYF260" s="821"/>
      <c r="LYG260" s="821"/>
      <c r="LYH260" s="821"/>
      <c r="LYI260" s="821"/>
      <c r="LYJ260" s="821"/>
      <c r="LYK260" s="821"/>
      <c r="LYL260" s="821"/>
      <c r="LYM260" s="821"/>
      <c r="LYN260" s="821"/>
      <c r="LYO260" s="821"/>
      <c r="LYP260" s="821"/>
      <c r="LYQ260" s="575"/>
      <c r="LYR260" s="821"/>
      <c r="LYS260" s="821"/>
      <c r="LYT260" s="821"/>
      <c r="LYU260" s="821"/>
      <c r="LYV260" s="821"/>
      <c r="LYW260" s="821"/>
      <c r="LYX260" s="821"/>
      <c r="LYY260" s="821"/>
      <c r="LYZ260" s="821"/>
      <c r="LZA260" s="821"/>
      <c r="LZB260" s="821"/>
      <c r="LZC260" s="821"/>
      <c r="LZD260" s="821"/>
      <c r="LZE260" s="821"/>
      <c r="LZF260" s="821"/>
      <c r="LZG260" s="821"/>
      <c r="LZH260" s="821"/>
      <c r="LZI260" s="821"/>
      <c r="LZJ260" s="821"/>
      <c r="LZK260" s="575"/>
      <c r="LZL260" s="821"/>
      <c r="LZM260" s="821"/>
      <c r="LZN260" s="821"/>
      <c r="LZO260" s="821"/>
      <c r="LZP260" s="821"/>
      <c r="LZQ260" s="821"/>
      <c r="LZR260" s="821"/>
      <c r="LZS260" s="821"/>
      <c r="LZT260" s="821"/>
      <c r="LZU260" s="821"/>
      <c r="LZV260" s="821"/>
      <c r="LZW260" s="821"/>
      <c r="LZX260" s="821"/>
      <c r="LZY260" s="821"/>
      <c r="LZZ260" s="821"/>
      <c r="MAA260" s="821"/>
      <c r="MAB260" s="821"/>
      <c r="MAC260" s="821"/>
      <c r="MAD260" s="821"/>
      <c r="MAE260" s="575"/>
      <c r="MAF260" s="821"/>
      <c r="MAG260" s="821"/>
      <c r="MAH260" s="821"/>
      <c r="MAI260" s="821"/>
      <c r="MAJ260" s="821"/>
      <c r="MAK260" s="821"/>
      <c r="MAL260" s="821"/>
      <c r="MAM260" s="821"/>
      <c r="MAN260" s="821"/>
      <c r="MAO260" s="821"/>
      <c r="MAP260" s="821"/>
      <c r="MAQ260" s="821"/>
      <c r="MAR260" s="821"/>
      <c r="MAS260" s="821"/>
      <c r="MAT260" s="821"/>
      <c r="MAU260" s="821"/>
      <c r="MAV260" s="821"/>
      <c r="MAW260" s="821"/>
      <c r="MAX260" s="821"/>
      <c r="MAY260" s="575"/>
      <c r="MAZ260" s="821"/>
      <c r="MBA260" s="821"/>
      <c r="MBB260" s="821"/>
      <c r="MBC260" s="821"/>
      <c r="MBD260" s="821"/>
      <c r="MBE260" s="821"/>
      <c r="MBF260" s="821"/>
      <c r="MBG260" s="821"/>
      <c r="MBH260" s="821"/>
      <c r="MBI260" s="821"/>
      <c r="MBJ260" s="821"/>
      <c r="MBK260" s="821"/>
      <c r="MBL260" s="821"/>
      <c r="MBM260" s="821"/>
      <c r="MBN260" s="821"/>
      <c r="MBO260" s="821"/>
      <c r="MBP260" s="821"/>
      <c r="MBQ260" s="821"/>
      <c r="MBR260" s="821"/>
      <c r="MBS260" s="575"/>
      <c r="MBT260" s="821"/>
      <c r="MBU260" s="821"/>
      <c r="MBV260" s="821"/>
      <c r="MBW260" s="821"/>
      <c r="MBX260" s="821"/>
      <c r="MBY260" s="821"/>
      <c r="MBZ260" s="821"/>
      <c r="MCA260" s="821"/>
      <c r="MCB260" s="821"/>
      <c r="MCC260" s="821"/>
      <c r="MCD260" s="821"/>
      <c r="MCE260" s="821"/>
      <c r="MCF260" s="821"/>
      <c r="MCG260" s="821"/>
      <c r="MCH260" s="821"/>
      <c r="MCI260" s="821"/>
      <c r="MCJ260" s="821"/>
      <c r="MCK260" s="821"/>
      <c r="MCL260" s="821"/>
      <c r="MCM260" s="575"/>
      <c r="MCN260" s="821"/>
      <c r="MCO260" s="821"/>
      <c r="MCP260" s="821"/>
      <c r="MCQ260" s="821"/>
      <c r="MCR260" s="821"/>
      <c r="MCS260" s="821"/>
      <c r="MCT260" s="821"/>
      <c r="MCU260" s="821"/>
      <c r="MCV260" s="821"/>
      <c r="MCW260" s="821"/>
      <c r="MCX260" s="821"/>
      <c r="MCY260" s="821"/>
      <c r="MCZ260" s="821"/>
      <c r="MDA260" s="821"/>
      <c r="MDB260" s="821"/>
      <c r="MDC260" s="821"/>
      <c r="MDD260" s="821"/>
      <c r="MDE260" s="821"/>
      <c r="MDF260" s="821"/>
      <c r="MDG260" s="575"/>
      <c r="MDH260" s="821"/>
      <c r="MDI260" s="821"/>
      <c r="MDJ260" s="821"/>
      <c r="MDK260" s="821"/>
      <c r="MDL260" s="821"/>
      <c r="MDM260" s="821"/>
      <c r="MDN260" s="821"/>
      <c r="MDO260" s="821"/>
      <c r="MDP260" s="821"/>
      <c r="MDQ260" s="821"/>
      <c r="MDR260" s="821"/>
      <c r="MDS260" s="821"/>
      <c r="MDT260" s="821"/>
      <c r="MDU260" s="821"/>
      <c r="MDV260" s="821"/>
      <c r="MDW260" s="821"/>
      <c r="MDX260" s="821"/>
      <c r="MDY260" s="821"/>
      <c r="MDZ260" s="821"/>
      <c r="MEA260" s="575"/>
      <c r="MEB260" s="821"/>
      <c r="MEC260" s="821"/>
      <c r="MED260" s="821"/>
      <c r="MEE260" s="821"/>
      <c r="MEF260" s="821"/>
      <c r="MEG260" s="821"/>
      <c r="MEH260" s="821"/>
      <c r="MEI260" s="821"/>
      <c r="MEJ260" s="821"/>
      <c r="MEK260" s="821"/>
      <c r="MEL260" s="821"/>
      <c r="MEM260" s="821"/>
      <c r="MEN260" s="821"/>
      <c r="MEO260" s="821"/>
      <c r="MEP260" s="821"/>
      <c r="MEQ260" s="821"/>
      <c r="MER260" s="821"/>
      <c r="MES260" s="821"/>
      <c r="MET260" s="821"/>
      <c r="MEU260" s="575"/>
      <c r="MEV260" s="821"/>
      <c r="MEW260" s="821"/>
      <c r="MEX260" s="821"/>
      <c r="MEY260" s="821"/>
      <c r="MEZ260" s="821"/>
      <c r="MFA260" s="821"/>
      <c r="MFB260" s="821"/>
      <c r="MFC260" s="821"/>
      <c r="MFD260" s="821"/>
      <c r="MFE260" s="821"/>
      <c r="MFF260" s="821"/>
      <c r="MFG260" s="821"/>
      <c r="MFH260" s="821"/>
      <c r="MFI260" s="821"/>
      <c r="MFJ260" s="821"/>
      <c r="MFK260" s="821"/>
      <c r="MFL260" s="821"/>
      <c r="MFM260" s="821"/>
      <c r="MFN260" s="821"/>
      <c r="MFO260" s="575"/>
      <c r="MFP260" s="821"/>
      <c r="MFQ260" s="821"/>
      <c r="MFR260" s="821"/>
      <c r="MFS260" s="821"/>
      <c r="MFT260" s="821"/>
      <c r="MFU260" s="821"/>
      <c r="MFV260" s="821"/>
      <c r="MFW260" s="821"/>
      <c r="MFX260" s="821"/>
      <c r="MFY260" s="821"/>
      <c r="MFZ260" s="821"/>
      <c r="MGA260" s="821"/>
      <c r="MGB260" s="821"/>
      <c r="MGC260" s="821"/>
      <c r="MGD260" s="821"/>
      <c r="MGE260" s="821"/>
      <c r="MGF260" s="821"/>
      <c r="MGG260" s="821"/>
      <c r="MGH260" s="821"/>
      <c r="MGI260" s="575"/>
      <c r="MGJ260" s="821"/>
      <c r="MGK260" s="821"/>
      <c r="MGL260" s="821"/>
      <c r="MGM260" s="821"/>
      <c r="MGN260" s="821"/>
      <c r="MGO260" s="821"/>
      <c r="MGP260" s="821"/>
      <c r="MGQ260" s="821"/>
      <c r="MGR260" s="821"/>
      <c r="MGS260" s="821"/>
      <c r="MGT260" s="821"/>
      <c r="MGU260" s="821"/>
      <c r="MGV260" s="821"/>
      <c r="MGW260" s="821"/>
      <c r="MGX260" s="821"/>
      <c r="MGY260" s="821"/>
      <c r="MGZ260" s="821"/>
      <c r="MHA260" s="821"/>
      <c r="MHB260" s="821"/>
      <c r="MHC260" s="575"/>
      <c r="MHD260" s="821"/>
      <c r="MHE260" s="821"/>
      <c r="MHF260" s="821"/>
      <c r="MHG260" s="821"/>
      <c r="MHH260" s="821"/>
      <c r="MHI260" s="821"/>
      <c r="MHJ260" s="821"/>
      <c r="MHK260" s="821"/>
      <c r="MHL260" s="821"/>
      <c r="MHM260" s="821"/>
      <c r="MHN260" s="821"/>
      <c r="MHO260" s="821"/>
      <c r="MHP260" s="821"/>
      <c r="MHQ260" s="821"/>
      <c r="MHR260" s="821"/>
      <c r="MHS260" s="821"/>
      <c r="MHT260" s="821"/>
      <c r="MHU260" s="821"/>
      <c r="MHV260" s="821"/>
      <c r="MHW260" s="575"/>
      <c r="MHX260" s="821"/>
      <c r="MHY260" s="821"/>
      <c r="MHZ260" s="821"/>
      <c r="MIA260" s="821"/>
      <c r="MIB260" s="821"/>
      <c r="MIC260" s="821"/>
      <c r="MID260" s="821"/>
      <c r="MIE260" s="821"/>
      <c r="MIF260" s="821"/>
      <c r="MIG260" s="821"/>
      <c r="MIH260" s="821"/>
      <c r="MII260" s="821"/>
      <c r="MIJ260" s="821"/>
      <c r="MIK260" s="821"/>
      <c r="MIL260" s="821"/>
      <c r="MIM260" s="821"/>
      <c r="MIN260" s="821"/>
      <c r="MIO260" s="821"/>
      <c r="MIP260" s="821"/>
      <c r="MIQ260" s="575"/>
      <c r="MIR260" s="821"/>
      <c r="MIS260" s="821"/>
      <c r="MIT260" s="821"/>
      <c r="MIU260" s="821"/>
      <c r="MIV260" s="821"/>
      <c r="MIW260" s="821"/>
      <c r="MIX260" s="821"/>
      <c r="MIY260" s="821"/>
      <c r="MIZ260" s="821"/>
      <c r="MJA260" s="821"/>
      <c r="MJB260" s="821"/>
      <c r="MJC260" s="821"/>
      <c r="MJD260" s="821"/>
      <c r="MJE260" s="821"/>
      <c r="MJF260" s="821"/>
      <c r="MJG260" s="821"/>
      <c r="MJH260" s="821"/>
      <c r="MJI260" s="821"/>
      <c r="MJJ260" s="821"/>
      <c r="MJK260" s="575"/>
      <c r="MJL260" s="821"/>
      <c r="MJM260" s="821"/>
      <c r="MJN260" s="821"/>
      <c r="MJO260" s="821"/>
      <c r="MJP260" s="821"/>
      <c r="MJQ260" s="821"/>
      <c r="MJR260" s="821"/>
      <c r="MJS260" s="821"/>
      <c r="MJT260" s="821"/>
      <c r="MJU260" s="821"/>
      <c r="MJV260" s="821"/>
      <c r="MJW260" s="821"/>
      <c r="MJX260" s="821"/>
      <c r="MJY260" s="821"/>
      <c r="MJZ260" s="821"/>
      <c r="MKA260" s="821"/>
      <c r="MKB260" s="821"/>
      <c r="MKC260" s="821"/>
      <c r="MKD260" s="821"/>
      <c r="MKE260" s="575"/>
      <c r="MKF260" s="821"/>
      <c r="MKG260" s="821"/>
      <c r="MKH260" s="821"/>
      <c r="MKI260" s="821"/>
      <c r="MKJ260" s="821"/>
      <c r="MKK260" s="821"/>
      <c r="MKL260" s="821"/>
      <c r="MKM260" s="821"/>
      <c r="MKN260" s="821"/>
      <c r="MKO260" s="821"/>
      <c r="MKP260" s="821"/>
      <c r="MKQ260" s="821"/>
      <c r="MKR260" s="821"/>
      <c r="MKS260" s="821"/>
      <c r="MKT260" s="821"/>
      <c r="MKU260" s="821"/>
      <c r="MKV260" s="821"/>
      <c r="MKW260" s="821"/>
      <c r="MKX260" s="821"/>
      <c r="MKY260" s="575"/>
      <c r="MKZ260" s="821"/>
      <c r="MLA260" s="821"/>
      <c r="MLB260" s="821"/>
      <c r="MLC260" s="821"/>
      <c r="MLD260" s="821"/>
      <c r="MLE260" s="821"/>
      <c r="MLF260" s="821"/>
      <c r="MLG260" s="821"/>
      <c r="MLH260" s="821"/>
      <c r="MLI260" s="821"/>
      <c r="MLJ260" s="821"/>
      <c r="MLK260" s="821"/>
      <c r="MLL260" s="821"/>
      <c r="MLM260" s="821"/>
      <c r="MLN260" s="821"/>
      <c r="MLO260" s="821"/>
      <c r="MLP260" s="821"/>
      <c r="MLQ260" s="821"/>
      <c r="MLR260" s="821"/>
      <c r="MLS260" s="575"/>
      <c r="MLT260" s="821"/>
      <c r="MLU260" s="821"/>
      <c r="MLV260" s="821"/>
      <c r="MLW260" s="821"/>
      <c r="MLX260" s="821"/>
      <c r="MLY260" s="821"/>
      <c r="MLZ260" s="821"/>
      <c r="MMA260" s="821"/>
      <c r="MMB260" s="821"/>
      <c r="MMC260" s="821"/>
      <c r="MMD260" s="821"/>
      <c r="MME260" s="821"/>
      <c r="MMF260" s="821"/>
      <c r="MMG260" s="821"/>
      <c r="MMH260" s="821"/>
      <c r="MMI260" s="821"/>
      <c r="MMJ260" s="821"/>
      <c r="MMK260" s="821"/>
      <c r="MML260" s="821"/>
      <c r="MMM260" s="575"/>
      <c r="MMN260" s="821"/>
      <c r="MMO260" s="821"/>
      <c r="MMP260" s="821"/>
      <c r="MMQ260" s="821"/>
      <c r="MMR260" s="821"/>
      <c r="MMS260" s="821"/>
      <c r="MMT260" s="821"/>
      <c r="MMU260" s="821"/>
      <c r="MMV260" s="821"/>
      <c r="MMW260" s="821"/>
      <c r="MMX260" s="821"/>
      <c r="MMY260" s="821"/>
      <c r="MMZ260" s="821"/>
      <c r="MNA260" s="821"/>
      <c r="MNB260" s="821"/>
      <c r="MNC260" s="821"/>
      <c r="MND260" s="821"/>
      <c r="MNE260" s="821"/>
      <c r="MNF260" s="821"/>
      <c r="MNG260" s="575"/>
      <c r="MNH260" s="821"/>
      <c r="MNI260" s="821"/>
      <c r="MNJ260" s="821"/>
      <c r="MNK260" s="821"/>
      <c r="MNL260" s="821"/>
      <c r="MNM260" s="821"/>
      <c r="MNN260" s="821"/>
      <c r="MNO260" s="821"/>
      <c r="MNP260" s="821"/>
      <c r="MNQ260" s="821"/>
      <c r="MNR260" s="821"/>
      <c r="MNS260" s="821"/>
      <c r="MNT260" s="821"/>
      <c r="MNU260" s="821"/>
      <c r="MNV260" s="821"/>
      <c r="MNW260" s="821"/>
      <c r="MNX260" s="821"/>
      <c r="MNY260" s="821"/>
      <c r="MNZ260" s="821"/>
      <c r="MOA260" s="575"/>
      <c r="MOB260" s="821"/>
      <c r="MOC260" s="821"/>
      <c r="MOD260" s="821"/>
      <c r="MOE260" s="821"/>
      <c r="MOF260" s="821"/>
      <c r="MOG260" s="821"/>
      <c r="MOH260" s="821"/>
      <c r="MOI260" s="821"/>
      <c r="MOJ260" s="821"/>
      <c r="MOK260" s="821"/>
      <c r="MOL260" s="821"/>
      <c r="MOM260" s="821"/>
      <c r="MON260" s="821"/>
      <c r="MOO260" s="821"/>
      <c r="MOP260" s="821"/>
      <c r="MOQ260" s="821"/>
      <c r="MOR260" s="821"/>
      <c r="MOS260" s="821"/>
      <c r="MOT260" s="821"/>
      <c r="MOU260" s="575"/>
      <c r="MOV260" s="821"/>
      <c r="MOW260" s="821"/>
      <c r="MOX260" s="821"/>
      <c r="MOY260" s="821"/>
      <c r="MOZ260" s="821"/>
      <c r="MPA260" s="821"/>
      <c r="MPB260" s="821"/>
      <c r="MPC260" s="821"/>
      <c r="MPD260" s="821"/>
      <c r="MPE260" s="821"/>
      <c r="MPF260" s="821"/>
      <c r="MPG260" s="821"/>
      <c r="MPH260" s="821"/>
      <c r="MPI260" s="821"/>
      <c r="MPJ260" s="821"/>
      <c r="MPK260" s="821"/>
      <c r="MPL260" s="821"/>
      <c r="MPM260" s="821"/>
      <c r="MPN260" s="821"/>
      <c r="MPO260" s="575"/>
      <c r="MPP260" s="821"/>
      <c r="MPQ260" s="821"/>
      <c r="MPR260" s="821"/>
      <c r="MPS260" s="821"/>
      <c r="MPT260" s="821"/>
      <c r="MPU260" s="821"/>
      <c r="MPV260" s="821"/>
      <c r="MPW260" s="821"/>
      <c r="MPX260" s="821"/>
      <c r="MPY260" s="821"/>
      <c r="MPZ260" s="821"/>
      <c r="MQA260" s="821"/>
      <c r="MQB260" s="821"/>
      <c r="MQC260" s="821"/>
      <c r="MQD260" s="821"/>
      <c r="MQE260" s="821"/>
      <c r="MQF260" s="821"/>
      <c r="MQG260" s="821"/>
      <c r="MQH260" s="821"/>
      <c r="MQI260" s="575"/>
      <c r="MQJ260" s="821"/>
      <c r="MQK260" s="821"/>
      <c r="MQL260" s="821"/>
      <c r="MQM260" s="821"/>
      <c r="MQN260" s="821"/>
      <c r="MQO260" s="821"/>
      <c r="MQP260" s="821"/>
      <c r="MQQ260" s="821"/>
      <c r="MQR260" s="821"/>
      <c r="MQS260" s="821"/>
      <c r="MQT260" s="821"/>
      <c r="MQU260" s="821"/>
      <c r="MQV260" s="821"/>
      <c r="MQW260" s="821"/>
      <c r="MQX260" s="821"/>
      <c r="MQY260" s="821"/>
      <c r="MQZ260" s="821"/>
      <c r="MRA260" s="821"/>
      <c r="MRB260" s="821"/>
      <c r="MRC260" s="575"/>
      <c r="MRD260" s="821"/>
      <c r="MRE260" s="821"/>
      <c r="MRF260" s="821"/>
      <c r="MRG260" s="821"/>
      <c r="MRH260" s="821"/>
      <c r="MRI260" s="821"/>
      <c r="MRJ260" s="821"/>
      <c r="MRK260" s="821"/>
      <c r="MRL260" s="821"/>
      <c r="MRM260" s="821"/>
      <c r="MRN260" s="821"/>
      <c r="MRO260" s="821"/>
      <c r="MRP260" s="821"/>
      <c r="MRQ260" s="821"/>
      <c r="MRR260" s="821"/>
      <c r="MRS260" s="821"/>
      <c r="MRT260" s="821"/>
      <c r="MRU260" s="821"/>
      <c r="MRV260" s="821"/>
      <c r="MRW260" s="575"/>
      <c r="MRX260" s="821"/>
      <c r="MRY260" s="821"/>
      <c r="MRZ260" s="821"/>
      <c r="MSA260" s="821"/>
      <c r="MSB260" s="821"/>
      <c r="MSC260" s="821"/>
      <c r="MSD260" s="821"/>
      <c r="MSE260" s="821"/>
      <c r="MSF260" s="821"/>
      <c r="MSG260" s="821"/>
      <c r="MSH260" s="821"/>
      <c r="MSI260" s="821"/>
      <c r="MSJ260" s="821"/>
      <c r="MSK260" s="821"/>
      <c r="MSL260" s="821"/>
      <c r="MSM260" s="821"/>
      <c r="MSN260" s="821"/>
      <c r="MSO260" s="821"/>
      <c r="MSP260" s="821"/>
      <c r="MSQ260" s="575"/>
      <c r="MSR260" s="821"/>
      <c r="MSS260" s="821"/>
      <c r="MST260" s="821"/>
      <c r="MSU260" s="821"/>
      <c r="MSV260" s="821"/>
      <c r="MSW260" s="821"/>
      <c r="MSX260" s="821"/>
      <c r="MSY260" s="821"/>
      <c r="MSZ260" s="821"/>
      <c r="MTA260" s="821"/>
      <c r="MTB260" s="821"/>
      <c r="MTC260" s="821"/>
      <c r="MTD260" s="821"/>
      <c r="MTE260" s="821"/>
      <c r="MTF260" s="821"/>
      <c r="MTG260" s="821"/>
      <c r="MTH260" s="821"/>
      <c r="MTI260" s="821"/>
      <c r="MTJ260" s="821"/>
      <c r="MTK260" s="575"/>
      <c r="MTL260" s="821"/>
      <c r="MTM260" s="821"/>
      <c r="MTN260" s="821"/>
      <c r="MTO260" s="821"/>
      <c r="MTP260" s="821"/>
      <c r="MTQ260" s="821"/>
      <c r="MTR260" s="821"/>
      <c r="MTS260" s="821"/>
      <c r="MTT260" s="821"/>
      <c r="MTU260" s="821"/>
      <c r="MTV260" s="821"/>
      <c r="MTW260" s="821"/>
      <c r="MTX260" s="821"/>
      <c r="MTY260" s="821"/>
      <c r="MTZ260" s="821"/>
      <c r="MUA260" s="821"/>
      <c r="MUB260" s="821"/>
      <c r="MUC260" s="821"/>
      <c r="MUD260" s="821"/>
      <c r="MUE260" s="575"/>
      <c r="MUF260" s="821"/>
      <c r="MUG260" s="821"/>
      <c r="MUH260" s="821"/>
      <c r="MUI260" s="821"/>
      <c r="MUJ260" s="821"/>
      <c r="MUK260" s="821"/>
      <c r="MUL260" s="821"/>
      <c r="MUM260" s="821"/>
      <c r="MUN260" s="821"/>
      <c r="MUO260" s="821"/>
      <c r="MUP260" s="821"/>
      <c r="MUQ260" s="821"/>
      <c r="MUR260" s="821"/>
      <c r="MUS260" s="821"/>
      <c r="MUT260" s="821"/>
      <c r="MUU260" s="821"/>
      <c r="MUV260" s="821"/>
      <c r="MUW260" s="821"/>
      <c r="MUX260" s="821"/>
      <c r="MUY260" s="575"/>
      <c r="MUZ260" s="821"/>
      <c r="MVA260" s="821"/>
      <c r="MVB260" s="821"/>
      <c r="MVC260" s="821"/>
      <c r="MVD260" s="821"/>
      <c r="MVE260" s="821"/>
      <c r="MVF260" s="821"/>
      <c r="MVG260" s="821"/>
      <c r="MVH260" s="821"/>
      <c r="MVI260" s="821"/>
      <c r="MVJ260" s="821"/>
      <c r="MVK260" s="821"/>
      <c r="MVL260" s="821"/>
      <c r="MVM260" s="821"/>
      <c r="MVN260" s="821"/>
      <c r="MVO260" s="821"/>
      <c r="MVP260" s="821"/>
      <c r="MVQ260" s="821"/>
      <c r="MVR260" s="821"/>
      <c r="MVS260" s="575"/>
      <c r="MVT260" s="821"/>
      <c r="MVU260" s="821"/>
      <c r="MVV260" s="821"/>
      <c r="MVW260" s="821"/>
      <c r="MVX260" s="821"/>
      <c r="MVY260" s="821"/>
      <c r="MVZ260" s="821"/>
      <c r="MWA260" s="821"/>
      <c r="MWB260" s="821"/>
      <c r="MWC260" s="821"/>
      <c r="MWD260" s="821"/>
      <c r="MWE260" s="821"/>
      <c r="MWF260" s="821"/>
      <c r="MWG260" s="821"/>
      <c r="MWH260" s="821"/>
      <c r="MWI260" s="821"/>
      <c r="MWJ260" s="821"/>
      <c r="MWK260" s="821"/>
      <c r="MWL260" s="821"/>
      <c r="MWM260" s="575"/>
      <c r="MWN260" s="821"/>
      <c r="MWO260" s="821"/>
      <c r="MWP260" s="821"/>
      <c r="MWQ260" s="821"/>
      <c r="MWR260" s="821"/>
      <c r="MWS260" s="821"/>
      <c r="MWT260" s="821"/>
      <c r="MWU260" s="821"/>
      <c r="MWV260" s="821"/>
      <c r="MWW260" s="821"/>
      <c r="MWX260" s="821"/>
      <c r="MWY260" s="821"/>
      <c r="MWZ260" s="821"/>
      <c r="MXA260" s="821"/>
      <c r="MXB260" s="821"/>
      <c r="MXC260" s="821"/>
      <c r="MXD260" s="821"/>
      <c r="MXE260" s="821"/>
      <c r="MXF260" s="821"/>
      <c r="MXG260" s="575"/>
      <c r="MXH260" s="821"/>
      <c r="MXI260" s="821"/>
      <c r="MXJ260" s="821"/>
      <c r="MXK260" s="821"/>
      <c r="MXL260" s="821"/>
      <c r="MXM260" s="821"/>
      <c r="MXN260" s="821"/>
      <c r="MXO260" s="821"/>
      <c r="MXP260" s="821"/>
      <c r="MXQ260" s="821"/>
      <c r="MXR260" s="821"/>
      <c r="MXS260" s="821"/>
      <c r="MXT260" s="821"/>
      <c r="MXU260" s="821"/>
      <c r="MXV260" s="821"/>
      <c r="MXW260" s="821"/>
      <c r="MXX260" s="821"/>
      <c r="MXY260" s="821"/>
      <c r="MXZ260" s="821"/>
      <c r="MYA260" s="575"/>
      <c r="MYB260" s="821"/>
      <c r="MYC260" s="821"/>
      <c r="MYD260" s="821"/>
      <c r="MYE260" s="821"/>
      <c r="MYF260" s="821"/>
      <c r="MYG260" s="821"/>
      <c r="MYH260" s="821"/>
      <c r="MYI260" s="821"/>
      <c r="MYJ260" s="821"/>
      <c r="MYK260" s="821"/>
      <c r="MYL260" s="821"/>
      <c r="MYM260" s="821"/>
      <c r="MYN260" s="821"/>
      <c r="MYO260" s="821"/>
      <c r="MYP260" s="821"/>
      <c r="MYQ260" s="821"/>
      <c r="MYR260" s="821"/>
      <c r="MYS260" s="821"/>
      <c r="MYT260" s="821"/>
      <c r="MYU260" s="575"/>
      <c r="MYV260" s="821"/>
      <c r="MYW260" s="821"/>
      <c r="MYX260" s="821"/>
      <c r="MYY260" s="821"/>
      <c r="MYZ260" s="821"/>
      <c r="MZA260" s="821"/>
      <c r="MZB260" s="821"/>
      <c r="MZC260" s="821"/>
      <c r="MZD260" s="821"/>
      <c r="MZE260" s="821"/>
      <c r="MZF260" s="821"/>
      <c r="MZG260" s="821"/>
      <c r="MZH260" s="821"/>
      <c r="MZI260" s="821"/>
      <c r="MZJ260" s="821"/>
      <c r="MZK260" s="821"/>
      <c r="MZL260" s="821"/>
      <c r="MZM260" s="821"/>
      <c r="MZN260" s="821"/>
      <c r="MZO260" s="575"/>
      <c r="MZP260" s="821"/>
      <c r="MZQ260" s="821"/>
      <c r="MZR260" s="821"/>
      <c r="MZS260" s="821"/>
      <c r="MZT260" s="821"/>
      <c r="MZU260" s="821"/>
      <c r="MZV260" s="821"/>
      <c r="MZW260" s="821"/>
      <c r="MZX260" s="821"/>
      <c r="MZY260" s="821"/>
      <c r="MZZ260" s="821"/>
      <c r="NAA260" s="821"/>
      <c r="NAB260" s="821"/>
      <c r="NAC260" s="821"/>
      <c r="NAD260" s="821"/>
      <c r="NAE260" s="821"/>
      <c r="NAF260" s="821"/>
      <c r="NAG260" s="821"/>
      <c r="NAH260" s="821"/>
      <c r="NAI260" s="575"/>
      <c r="NAJ260" s="821"/>
      <c r="NAK260" s="821"/>
      <c r="NAL260" s="821"/>
      <c r="NAM260" s="821"/>
      <c r="NAN260" s="821"/>
      <c r="NAO260" s="821"/>
      <c r="NAP260" s="821"/>
      <c r="NAQ260" s="821"/>
      <c r="NAR260" s="821"/>
      <c r="NAS260" s="821"/>
      <c r="NAT260" s="821"/>
      <c r="NAU260" s="821"/>
      <c r="NAV260" s="821"/>
      <c r="NAW260" s="821"/>
      <c r="NAX260" s="821"/>
      <c r="NAY260" s="821"/>
      <c r="NAZ260" s="821"/>
      <c r="NBA260" s="821"/>
      <c r="NBB260" s="821"/>
      <c r="NBC260" s="575"/>
      <c r="NBD260" s="821"/>
      <c r="NBE260" s="821"/>
      <c r="NBF260" s="821"/>
      <c r="NBG260" s="821"/>
      <c r="NBH260" s="821"/>
      <c r="NBI260" s="821"/>
      <c r="NBJ260" s="821"/>
      <c r="NBK260" s="821"/>
      <c r="NBL260" s="821"/>
      <c r="NBM260" s="821"/>
      <c r="NBN260" s="821"/>
      <c r="NBO260" s="821"/>
      <c r="NBP260" s="821"/>
      <c r="NBQ260" s="821"/>
      <c r="NBR260" s="821"/>
      <c r="NBS260" s="821"/>
      <c r="NBT260" s="821"/>
      <c r="NBU260" s="821"/>
      <c r="NBV260" s="821"/>
      <c r="NBW260" s="575"/>
      <c r="NBX260" s="821"/>
      <c r="NBY260" s="821"/>
      <c r="NBZ260" s="821"/>
      <c r="NCA260" s="821"/>
      <c r="NCB260" s="821"/>
      <c r="NCC260" s="821"/>
      <c r="NCD260" s="821"/>
      <c r="NCE260" s="821"/>
      <c r="NCF260" s="821"/>
      <c r="NCG260" s="821"/>
      <c r="NCH260" s="821"/>
      <c r="NCI260" s="821"/>
      <c r="NCJ260" s="821"/>
      <c r="NCK260" s="821"/>
      <c r="NCL260" s="821"/>
      <c r="NCM260" s="821"/>
      <c r="NCN260" s="821"/>
      <c r="NCO260" s="821"/>
      <c r="NCP260" s="821"/>
      <c r="NCQ260" s="575"/>
      <c r="NCR260" s="821"/>
      <c r="NCS260" s="821"/>
      <c r="NCT260" s="821"/>
      <c r="NCU260" s="821"/>
      <c r="NCV260" s="821"/>
      <c r="NCW260" s="821"/>
      <c r="NCX260" s="821"/>
      <c r="NCY260" s="821"/>
      <c r="NCZ260" s="821"/>
      <c r="NDA260" s="821"/>
      <c r="NDB260" s="821"/>
      <c r="NDC260" s="821"/>
      <c r="NDD260" s="821"/>
      <c r="NDE260" s="821"/>
      <c r="NDF260" s="821"/>
      <c r="NDG260" s="821"/>
      <c r="NDH260" s="821"/>
      <c r="NDI260" s="821"/>
      <c r="NDJ260" s="821"/>
      <c r="NDK260" s="575"/>
      <c r="NDL260" s="821"/>
      <c r="NDM260" s="821"/>
      <c r="NDN260" s="821"/>
      <c r="NDO260" s="821"/>
      <c r="NDP260" s="821"/>
      <c r="NDQ260" s="821"/>
      <c r="NDR260" s="821"/>
      <c r="NDS260" s="821"/>
      <c r="NDT260" s="821"/>
      <c r="NDU260" s="821"/>
      <c r="NDV260" s="821"/>
      <c r="NDW260" s="821"/>
      <c r="NDX260" s="821"/>
      <c r="NDY260" s="821"/>
      <c r="NDZ260" s="821"/>
      <c r="NEA260" s="821"/>
      <c r="NEB260" s="821"/>
      <c r="NEC260" s="821"/>
      <c r="NED260" s="821"/>
      <c r="NEE260" s="575"/>
      <c r="NEF260" s="821"/>
      <c r="NEG260" s="821"/>
      <c r="NEH260" s="821"/>
      <c r="NEI260" s="821"/>
      <c r="NEJ260" s="821"/>
      <c r="NEK260" s="821"/>
      <c r="NEL260" s="821"/>
      <c r="NEM260" s="821"/>
      <c r="NEN260" s="821"/>
      <c r="NEO260" s="821"/>
      <c r="NEP260" s="821"/>
      <c r="NEQ260" s="821"/>
      <c r="NER260" s="821"/>
      <c r="NES260" s="821"/>
      <c r="NET260" s="821"/>
      <c r="NEU260" s="821"/>
      <c r="NEV260" s="821"/>
      <c r="NEW260" s="821"/>
      <c r="NEX260" s="821"/>
      <c r="NEY260" s="575"/>
      <c r="NEZ260" s="821"/>
      <c r="NFA260" s="821"/>
      <c r="NFB260" s="821"/>
      <c r="NFC260" s="821"/>
      <c r="NFD260" s="821"/>
      <c r="NFE260" s="821"/>
      <c r="NFF260" s="821"/>
      <c r="NFG260" s="821"/>
      <c r="NFH260" s="821"/>
      <c r="NFI260" s="821"/>
      <c r="NFJ260" s="821"/>
      <c r="NFK260" s="821"/>
      <c r="NFL260" s="821"/>
      <c r="NFM260" s="821"/>
      <c r="NFN260" s="821"/>
      <c r="NFO260" s="821"/>
      <c r="NFP260" s="821"/>
      <c r="NFQ260" s="821"/>
      <c r="NFR260" s="821"/>
      <c r="NFS260" s="575"/>
      <c r="NFT260" s="821"/>
      <c r="NFU260" s="821"/>
      <c r="NFV260" s="821"/>
      <c r="NFW260" s="821"/>
      <c r="NFX260" s="821"/>
      <c r="NFY260" s="821"/>
      <c r="NFZ260" s="821"/>
      <c r="NGA260" s="821"/>
      <c r="NGB260" s="821"/>
      <c r="NGC260" s="821"/>
      <c r="NGD260" s="821"/>
      <c r="NGE260" s="821"/>
      <c r="NGF260" s="821"/>
      <c r="NGG260" s="821"/>
      <c r="NGH260" s="821"/>
      <c r="NGI260" s="821"/>
      <c r="NGJ260" s="821"/>
      <c r="NGK260" s="821"/>
      <c r="NGL260" s="821"/>
      <c r="NGM260" s="575"/>
      <c r="NGN260" s="821"/>
      <c r="NGO260" s="821"/>
      <c r="NGP260" s="821"/>
      <c r="NGQ260" s="821"/>
      <c r="NGR260" s="821"/>
      <c r="NGS260" s="821"/>
      <c r="NGT260" s="821"/>
      <c r="NGU260" s="821"/>
      <c r="NGV260" s="821"/>
      <c r="NGW260" s="821"/>
      <c r="NGX260" s="821"/>
      <c r="NGY260" s="821"/>
      <c r="NGZ260" s="821"/>
      <c r="NHA260" s="821"/>
      <c r="NHB260" s="821"/>
      <c r="NHC260" s="821"/>
      <c r="NHD260" s="821"/>
      <c r="NHE260" s="821"/>
      <c r="NHF260" s="821"/>
      <c r="NHG260" s="575"/>
      <c r="NHH260" s="821"/>
      <c r="NHI260" s="821"/>
      <c r="NHJ260" s="821"/>
      <c r="NHK260" s="821"/>
      <c r="NHL260" s="821"/>
      <c r="NHM260" s="821"/>
      <c r="NHN260" s="821"/>
      <c r="NHO260" s="821"/>
      <c r="NHP260" s="821"/>
      <c r="NHQ260" s="821"/>
      <c r="NHR260" s="821"/>
      <c r="NHS260" s="821"/>
      <c r="NHT260" s="821"/>
      <c r="NHU260" s="821"/>
      <c r="NHV260" s="821"/>
      <c r="NHW260" s="821"/>
      <c r="NHX260" s="821"/>
      <c r="NHY260" s="821"/>
      <c r="NHZ260" s="821"/>
      <c r="NIA260" s="575"/>
      <c r="NIB260" s="821"/>
      <c r="NIC260" s="821"/>
      <c r="NID260" s="821"/>
      <c r="NIE260" s="821"/>
      <c r="NIF260" s="821"/>
      <c r="NIG260" s="821"/>
      <c r="NIH260" s="821"/>
      <c r="NII260" s="821"/>
      <c r="NIJ260" s="821"/>
      <c r="NIK260" s="821"/>
      <c r="NIL260" s="821"/>
      <c r="NIM260" s="821"/>
      <c r="NIN260" s="821"/>
      <c r="NIO260" s="821"/>
      <c r="NIP260" s="821"/>
      <c r="NIQ260" s="821"/>
      <c r="NIR260" s="821"/>
      <c r="NIS260" s="821"/>
      <c r="NIT260" s="821"/>
      <c r="NIU260" s="575"/>
      <c r="NIV260" s="821"/>
      <c r="NIW260" s="821"/>
      <c r="NIX260" s="821"/>
      <c r="NIY260" s="821"/>
      <c r="NIZ260" s="821"/>
      <c r="NJA260" s="821"/>
      <c r="NJB260" s="821"/>
      <c r="NJC260" s="821"/>
      <c r="NJD260" s="821"/>
      <c r="NJE260" s="821"/>
      <c r="NJF260" s="821"/>
      <c r="NJG260" s="821"/>
      <c r="NJH260" s="821"/>
      <c r="NJI260" s="821"/>
      <c r="NJJ260" s="821"/>
      <c r="NJK260" s="821"/>
      <c r="NJL260" s="821"/>
      <c r="NJM260" s="821"/>
      <c r="NJN260" s="821"/>
      <c r="NJO260" s="575"/>
      <c r="NJP260" s="821"/>
      <c r="NJQ260" s="821"/>
      <c r="NJR260" s="821"/>
      <c r="NJS260" s="821"/>
      <c r="NJT260" s="821"/>
      <c r="NJU260" s="821"/>
      <c r="NJV260" s="821"/>
      <c r="NJW260" s="821"/>
      <c r="NJX260" s="821"/>
      <c r="NJY260" s="821"/>
      <c r="NJZ260" s="821"/>
      <c r="NKA260" s="821"/>
      <c r="NKB260" s="821"/>
      <c r="NKC260" s="821"/>
      <c r="NKD260" s="821"/>
      <c r="NKE260" s="821"/>
      <c r="NKF260" s="821"/>
      <c r="NKG260" s="821"/>
      <c r="NKH260" s="821"/>
      <c r="NKI260" s="575"/>
      <c r="NKJ260" s="821"/>
      <c r="NKK260" s="821"/>
      <c r="NKL260" s="821"/>
      <c r="NKM260" s="821"/>
      <c r="NKN260" s="821"/>
      <c r="NKO260" s="821"/>
      <c r="NKP260" s="821"/>
      <c r="NKQ260" s="821"/>
      <c r="NKR260" s="821"/>
      <c r="NKS260" s="821"/>
      <c r="NKT260" s="821"/>
      <c r="NKU260" s="821"/>
      <c r="NKV260" s="821"/>
      <c r="NKW260" s="821"/>
      <c r="NKX260" s="821"/>
      <c r="NKY260" s="821"/>
      <c r="NKZ260" s="821"/>
      <c r="NLA260" s="821"/>
      <c r="NLB260" s="821"/>
      <c r="NLC260" s="575"/>
      <c r="NLD260" s="821"/>
      <c r="NLE260" s="821"/>
      <c r="NLF260" s="821"/>
      <c r="NLG260" s="821"/>
      <c r="NLH260" s="821"/>
      <c r="NLI260" s="821"/>
      <c r="NLJ260" s="821"/>
      <c r="NLK260" s="821"/>
      <c r="NLL260" s="821"/>
      <c r="NLM260" s="821"/>
      <c r="NLN260" s="821"/>
      <c r="NLO260" s="821"/>
      <c r="NLP260" s="821"/>
      <c r="NLQ260" s="821"/>
      <c r="NLR260" s="821"/>
      <c r="NLS260" s="821"/>
      <c r="NLT260" s="821"/>
      <c r="NLU260" s="821"/>
      <c r="NLV260" s="821"/>
      <c r="NLW260" s="575"/>
      <c r="NLX260" s="821"/>
      <c r="NLY260" s="821"/>
      <c r="NLZ260" s="821"/>
      <c r="NMA260" s="821"/>
      <c r="NMB260" s="821"/>
      <c r="NMC260" s="821"/>
      <c r="NMD260" s="821"/>
      <c r="NME260" s="821"/>
      <c r="NMF260" s="821"/>
      <c r="NMG260" s="821"/>
      <c r="NMH260" s="821"/>
      <c r="NMI260" s="821"/>
      <c r="NMJ260" s="821"/>
      <c r="NMK260" s="821"/>
      <c r="NML260" s="821"/>
      <c r="NMM260" s="821"/>
      <c r="NMN260" s="821"/>
      <c r="NMO260" s="821"/>
      <c r="NMP260" s="821"/>
      <c r="NMQ260" s="575"/>
      <c r="NMR260" s="821"/>
      <c r="NMS260" s="821"/>
      <c r="NMT260" s="821"/>
      <c r="NMU260" s="821"/>
      <c r="NMV260" s="821"/>
      <c r="NMW260" s="821"/>
      <c r="NMX260" s="821"/>
      <c r="NMY260" s="821"/>
      <c r="NMZ260" s="821"/>
      <c r="NNA260" s="821"/>
      <c r="NNB260" s="821"/>
      <c r="NNC260" s="821"/>
      <c r="NND260" s="821"/>
      <c r="NNE260" s="821"/>
      <c r="NNF260" s="821"/>
      <c r="NNG260" s="821"/>
      <c r="NNH260" s="821"/>
      <c r="NNI260" s="821"/>
      <c r="NNJ260" s="821"/>
      <c r="NNK260" s="575"/>
      <c r="NNL260" s="821"/>
      <c r="NNM260" s="821"/>
      <c r="NNN260" s="821"/>
      <c r="NNO260" s="821"/>
      <c r="NNP260" s="821"/>
      <c r="NNQ260" s="821"/>
      <c r="NNR260" s="821"/>
      <c r="NNS260" s="821"/>
      <c r="NNT260" s="821"/>
      <c r="NNU260" s="821"/>
      <c r="NNV260" s="821"/>
      <c r="NNW260" s="821"/>
      <c r="NNX260" s="821"/>
      <c r="NNY260" s="821"/>
      <c r="NNZ260" s="821"/>
      <c r="NOA260" s="821"/>
      <c r="NOB260" s="821"/>
      <c r="NOC260" s="821"/>
      <c r="NOD260" s="821"/>
      <c r="NOE260" s="575"/>
      <c r="NOF260" s="821"/>
      <c r="NOG260" s="821"/>
      <c r="NOH260" s="821"/>
      <c r="NOI260" s="821"/>
      <c r="NOJ260" s="821"/>
      <c r="NOK260" s="821"/>
      <c r="NOL260" s="821"/>
      <c r="NOM260" s="821"/>
      <c r="NON260" s="821"/>
      <c r="NOO260" s="821"/>
      <c r="NOP260" s="821"/>
      <c r="NOQ260" s="821"/>
      <c r="NOR260" s="821"/>
      <c r="NOS260" s="821"/>
      <c r="NOT260" s="821"/>
      <c r="NOU260" s="821"/>
      <c r="NOV260" s="821"/>
      <c r="NOW260" s="821"/>
      <c r="NOX260" s="821"/>
      <c r="NOY260" s="575"/>
      <c r="NOZ260" s="821"/>
      <c r="NPA260" s="821"/>
      <c r="NPB260" s="821"/>
      <c r="NPC260" s="821"/>
      <c r="NPD260" s="821"/>
      <c r="NPE260" s="821"/>
      <c r="NPF260" s="821"/>
      <c r="NPG260" s="821"/>
      <c r="NPH260" s="821"/>
      <c r="NPI260" s="821"/>
      <c r="NPJ260" s="821"/>
      <c r="NPK260" s="821"/>
      <c r="NPL260" s="821"/>
      <c r="NPM260" s="821"/>
      <c r="NPN260" s="821"/>
      <c r="NPO260" s="821"/>
      <c r="NPP260" s="821"/>
      <c r="NPQ260" s="821"/>
      <c r="NPR260" s="821"/>
      <c r="NPS260" s="575"/>
      <c r="NPT260" s="821"/>
      <c r="NPU260" s="821"/>
      <c r="NPV260" s="821"/>
      <c r="NPW260" s="821"/>
      <c r="NPX260" s="821"/>
      <c r="NPY260" s="821"/>
      <c r="NPZ260" s="821"/>
      <c r="NQA260" s="821"/>
      <c r="NQB260" s="821"/>
      <c r="NQC260" s="821"/>
      <c r="NQD260" s="821"/>
      <c r="NQE260" s="821"/>
      <c r="NQF260" s="821"/>
      <c r="NQG260" s="821"/>
      <c r="NQH260" s="821"/>
      <c r="NQI260" s="821"/>
      <c r="NQJ260" s="821"/>
      <c r="NQK260" s="821"/>
      <c r="NQL260" s="821"/>
      <c r="NQM260" s="575"/>
      <c r="NQN260" s="821"/>
      <c r="NQO260" s="821"/>
      <c r="NQP260" s="821"/>
      <c r="NQQ260" s="821"/>
      <c r="NQR260" s="821"/>
      <c r="NQS260" s="821"/>
      <c r="NQT260" s="821"/>
      <c r="NQU260" s="821"/>
      <c r="NQV260" s="821"/>
      <c r="NQW260" s="821"/>
      <c r="NQX260" s="821"/>
      <c r="NQY260" s="821"/>
      <c r="NQZ260" s="821"/>
      <c r="NRA260" s="821"/>
      <c r="NRB260" s="821"/>
      <c r="NRC260" s="821"/>
      <c r="NRD260" s="821"/>
      <c r="NRE260" s="821"/>
      <c r="NRF260" s="821"/>
      <c r="NRG260" s="575"/>
      <c r="NRH260" s="821"/>
      <c r="NRI260" s="821"/>
      <c r="NRJ260" s="821"/>
      <c r="NRK260" s="821"/>
      <c r="NRL260" s="821"/>
      <c r="NRM260" s="821"/>
      <c r="NRN260" s="821"/>
      <c r="NRO260" s="821"/>
      <c r="NRP260" s="821"/>
      <c r="NRQ260" s="821"/>
      <c r="NRR260" s="821"/>
      <c r="NRS260" s="821"/>
      <c r="NRT260" s="821"/>
      <c r="NRU260" s="821"/>
      <c r="NRV260" s="821"/>
      <c r="NRW260" s="821"/>
      <c r="NRX260" s="821"/>
      <c r="NRY260" s="821"/>
      <c r="NRZ260" s="821"/>
      <c r="NSA260" s="575"/>
      <c r="NSB260" s="821"/>
      <c r="NSC260" s="821"/>
      <c r="NSD260" s="821"/>
      <c r="NSE260" s="821"/>
      <c r="NSF260" s="821"/>
      <c r="NSG260" s="821"/>
      <c r="NSH260" s="821"/>
      <c r="NSI260" s="821"/>
      <c r="NSJ260" s="821"/>
      <c r="NSK260" s="821"/>
      <c r="NSL260" s="821"/>
      <c r="NSM260" s="821"/>
      <c r="NSN260" s="821"/>
      <c r="NSO260" s="821"/>
      <c r="NSP260" s="821"/>
      <c r="NSQ260" s="821"/>
      <c r="NSR260" s="821"/>
      <c r="NSS260" s="821"/>
      <c r="NST260" s="821"/>
      <c r="NSU260" s="575"/>
      <c r="NSV260" s="821"/>
      <c r="NSW260" s="821"/>
      <c r="NSX260" s="821"/>
      <c r="NSY260" s="821"/>
      <c r="NSZ260" s="821"/>
      <c r="NTA260" s="821"/>
      <c r="NTB260" s="821"/>
      <c r="NTC260" s="821"/>
      <c r="NTD260" s="821"/>
      <c r="NTE260" s="821"/>
      <c r="NTF260" s="821"/>
      <c r="NTG260" s="821"/>
      <c r="NTH260" s="821"/>
      <c r="NTI260" s="821"/>
      <c r="NTJ260" s="821"/>
      <c r="NTK260" s="821"/>
      <c r="NTL260" s="821"/>
      <c r="NTM260" s="821"/>
      <c r="NTN260" s="821"/>
      <c r="NTO260" s="575"/>
      <c r="NTP260" s="821"/>
      <c r="NTQ260" s="821"/>
      <c r="NTR260" s="821"/>
      <c r="NTS260" s="821"/>
      <c r="NTT260" s="821"/>
      <c r="NTU260" s="821"/>
      <c r="NTV260" s="821"/>
      <c r="NTW260" s="821"/>
      <c r="NTX260" s="821"/>
      <c r="NTY260" s="821"/>
      <c r="NTZ260" s="821"/>
      <c r="NUA260" s="821"/>
      <c r="NUB260" s="821"/>
      <c r="NUC260" s="821"/>
      <c r="NUD260" s="821"/>
      <c r="NUE260" s="821"/>
      <c r="NUF260" s="821"/>
      <c r="NUG260" s="821"/>
      <c r="NUH260" s="821"/>
      <c r="NUI260" s="575"/>
      <c r="NUJ260" s="821"/>
      <c r="NUK260" s="821"/>
      <c r="NUL260" s="821"/>
      <c r="NUM260" s="821"/>
      <c r="NUN260" s="821"/>
      <c r="NUO260" s="821"/>
      <c r="NUP260" s="821"/>
      <c r="NUQ260" s="821"/>
      <c r="NUR260" s="821"/>
      <c r="NUS260" s="821"/>
      <c r="NUT260" s="821"/>
      <c r="NUU260" s="821"/>
      <c r="NUV260" s="821"/>
      <c r="NUW260" s="821"/>
      <c r="NUX260" s="821"/>
      <c r="NUY260" s="821"/>
      <c r="NUZ260" s="821"/>
      <c r="NVA260" s="821"/>
      <c r="NVB260" s="821"/>
      <c r="NVC260" s="575"/>
      <c r="NVD260" s="821"/>
      <c r="NVE260" s="821"/>
      <c r="NVF260" s="821"/>
      <c r="NVG260" s="821"/>
      <c r="NVH260" s="821"/>
      <c r="NVI260" s="821"/>
      <c r="NVJ260" s="821"/>
      <c r="NVK260" s="821"/>
      <c r="NVL260" s="821"/>
      <c r="NVM260" s="821"/>
      <c r="NVN260" s="821"/>
      <c r="NVO260" s="821"/>
      <c r="NVP260" s="821"/>
      <c r="NVQ260" s="821"/>
      <c r="NVR260" s="821"/>
      <c r="NVS260" s="821"/>
      <c r="NVT260" s="821"/>
      <c r="NVU260" s="821"/>
      <c r="NVV260" s="821"/>
      <c r="NVW260" s="575"/>
      <c r="NVX260" s="821"/>
      <c r="NVY260" s="821"/>
      <c r="NVZ260" s="821"/>
      <c r="NWA260" s="821"/>
      <c r="NWB260" s="821"/>
      <c r="NWC260" s="821"/>
      <c r="NWD260" s="821"/>
      <c r="NWE260" s="821"/>
      <c r="NWF260" s="821"/>
      <c r="NWG260" s="821"/>
      <c r="NWH260" s="821"/>
      <c r="NWI260" s="821"/>
      <c r="NWJ260" s="821"/>
      <c r="NWK260" s="821"/>
      <c r="NWL260" s="821"/>
      <c r="NWM260" s="821"/>
      <c r="NWN260" s="821"/>
      <c r="NWO260" s="821"/>
      <c r="NWP260" s="821"/>
      <c r="NWQ260" s="575"/>
      <c r="NWR260" s="821"/>
      <c r="NWS260" s="821"/>
      <c r="NWT260" s="821"/>
      <c r="NWU260" s="821"/>
      <c r="NWV260" s="821"/>
      <c r="NWW260" s="821"/>
      <c r="NWX260" s="821"/>
      <c r="NWY260" s="821"/>
      <c r="NWZ260" s="821"/>
      <c r="NXA260" s="821"/>
      <c r="NXB260" s="821"/>
      <c r="NXC260" s="821"/>
      <c r="NXD260" s="821"/>
      <c r="NXE260" s="821"/>
      <c r="NXF260" s="821"/>
      <c r="NXG260" s="821"/>
      <c r="NXH260" s="821"/>
      <c r="NXI260" s="821"/>
      <c r="NXJ260" s="821"/>
      <c r="NXK260" s="575"/>
      <c r="NXL260" s="821"/>
      <c r="NXM260" s="821"/>
      <c r="NXN260" s="821"/>
      <c r="NXO260" s="821"/>
      <c r="NXP260" s="821"/>
      <c r="NXQ260" s="821"/>
      <c r="NXR260" s="821"/>
      <c r="NXS260" s="821"/>
      <c r="NXT260" s="821"/>
      <c r="NXU260" s="821"/>
      <c r="NXV260" s="821"/>
      <c r="NXW260" s="821"/>
      <c r="NXX260" s="821"/>
      <c r="NXY260" s="821"/>
      <c r="NXZ260" s="821"/>
      <c r="NYA260" s="821"/>
      <c r="NYB260" s="821"/>
      <c r="NYC260" s="821"/>
      <c r="NYD260" s="821"/>
      <c r="NYE260" s="575"/>
      <c r="NYF260" s="821"/>
      <c r="NYG260" s="821"/>
      <c r="NYH260" s="821"/>
      <c r="NYI260" s="821"/>
      <c r="NYJ260" s="821"/>
      <c r="NYK260" s="821"/>
      <c r="NYL260" s="821"/>
      <c r="NYM260" s="821"/>
      <c r="NYN260" s="821"/>
      <c r="NYO260" s="821"/>
      <c r="NYP260" s="821"/>
      <c r="NYQ260" s="821"/>
      <c r="NYR260" s="821"/>
      <c r="NYS260" s="821"/>
      <c r="NYT260" s="821"/>
      <c r="NYU260" s="821"/>
      <c r="NYV260" s="821"/>
      <c r="NYW260" s="821"/>
      <c r="NYX260" s="821"/>
      <c r="NYY260" s="575"/>
      <c r="NYZ260" s="821"/>
      <c r="NZA260" s="821"/>
      <c r="NZB260" s="821"/>
      <c r="NZC260" s="821"/>
      <c r="NZD260" s="821"/>
      <c r="NZE260" s="821"/>
      <c r="NZF260" s="821"/>
      <c r="NZG260" s="821"/>
      <c r="NZH260" s="821"/>
      <c r="NZI260" s="821"/>
      <c r="NZJ260" s="821"/>
      <c r="NZK260" s="821"/>
      <c r="NZL260" s="821"/>
      <c r="NZM260" s="821"/>
      <c r="NZN260" s="821"/>
      <c r="NZO260" s="821"/>
      <c r="NZP260" s="821"/>
      <c r="NZQ260" s="821"/>
      <c r="NZR260" s="821"/>
      <c r="NZS260" s="575"/>
      <c r="NZT260" s="821"/>
      <c r="NZU260" s="821"/>
      <c r="NZV260" s="821"/>
      <c r="NZW260" s="821"/>
      <c r="NZX260" s="821"/>
      <c r="NZY260" s="821"/>
      <c r="NZZ260" s="821"/>
      <c r="OAA260" s="821"/>
      <c r="OAB260" s="821"/>
      <c r="OAC260" s="821"/>
      <c r="OAD260" s="821"/>
      <c r="OAE260" s="821"/>
      <c r="OAF260" s="821"/>
      <c r="OAG260" s="821"/>
      <c r="OAH260" s="821"/>
      <c r="OAI260" s="821"/>
      <c r="OAJ260" s="821"/>
      <c r="OAK260" s="821"/>
      <c r="OAL260" s="821"/>
      <c r="OAM260" s="575"/>
      <c r="OAN260" s="821"/>
      <c r="OAO260" s="821"/>
      <c r="OAP260" s="821"/>
      <c r="OAQ260" s="821"/>
      <c r="OAR260" s="821"/>
      <c r="OAS260" s="821"/>
      <c r="OAT260" s="821"/>
      <c r="OAU260" s="821"/>
      <c r="OAV260" s="821"/>
      <c r="OAW260" s="821"/>
      <c r="OAX260" s="821"/>
      <c r="OAY260" s="821"/>
      <c r="OAZ260" s="821"/>
      <c r="OBA260" s="821"/>
      <c r="OBB260" s="821"/>
      <c r="OBC260" s="821"/>
      <c r="OBD260" s="821"/>
      <c r="OBE260" s="821"/>
      <c r="OBF260" s="821"/>
      <c r="OBG260" s="575"/>
      <c r="OBH260" s="821"/>
      <c r="OBI260" s="821"/>
      <c r="OBJ260" s="821"/>
      <c r="OBK260" s="821"/>
      <c r="OBL260" s="821"/>
      <c r="OBM260" s="821"/>
      <c r="OBN260" s="821"/>
      <c r="OBO260" s="821"/>
      <c r="OBP260" s="821"/>
      <c r="OBQ260" s="821"/>
      <c r="OBR260" s="821"/>
      <c r="OBS260" s="821"/>
      <c r="OBT260" s="821"/>
      <c r="OBU260" s="821"/>
      <c r="OBV260" s="821"/>
      <c r="OBW260" s="821"/>
      <c r="OBX260" s="821"/>
      <c r="OBY260" s="821"/>
      <c r="OBZ260" s="821"/>
      <c r="OCA260" s="575"/>
      <c r="OCB260" s="821"/>
      <c r="OCC260" s="821"/>
      <c r="OCD260" s="821"/>
      <c r="OCE260" s="821"/>
      <c r="OCF260" s="821"/>
      <c r="OCG260" s="821"/>
      <c r="OCH260" s="821"/>
      <c r="OCI260" s="821"/>
      <c r="OCJ260" s="821"/>
      <c r="OCK260" s="821"/>
      <c r="OCL260" s="821"/>
      <c r="OCM260" s="821"/>
      <c r="OCN260" s="821"/>
      <c r="OCO260" s="821"/>
      <c r="OCP260" s="821"/>
      <c r="OCQ260" s="821"/>
      <c r="OCR260" s="821"/>
      <c r="OCS260" s="821"/>
      <c r="OCT260" s="821"/>
      <c r="OCU260" s="575"/>
      <c r="OCV260" s="821"/>
      <c r="OCW260" s="821"/>
      <c r="OCX260" s="821"/>
      <c r="OCY260" s="821"/>
      <c r="OCZ260" s="821"/>
      <c r="ODA260" s="821"/>
      <c r="ODB260" s="821"/>
      <c r="ODC260" s="821"/>
      <c r="ODD260" s="821"/>
      <c r="ODE260" s="821"/>
      <c r="ODF260" s="821"/>
      <c r="ODG260" s="821"/>
      <c r="ODH260" s="821"/>
      <c r="ODI260" s="821"/>
      <c r="ODJ260" s="821"/>
      <c r="ODK260" s="821"/>
      <c r="ODL260" s="821"/>
      <c r="ODM260" s="821"/>
      <c r="ODN260" s="821"/>
      <c r="ODO260" s="575"/>
      <c r="ODP260" s="821"/>
      <c r="ODQ260" s="821"/>
      <c r="ODR260" s="821"/>
      <c r="ODS260" s="821"/>
      <c r="ODT260" s="821"/>
      <c r="ODU260" s="821"/>
      <c r="ODV260" s="821"/>
      <c r="ODW260" s="821"/>
      <c r="ODX260" s="821"/>
      <c r="ODY260" s="821"/>
      <c r="ODZ260" s="821"/>
      <c r="OEA260" s="821"/>
      <c r="OEB260" s="821"/>
      <c r="OEC260" s="821"/>
      <c r="OED260" s="821"/>
      <c r="OEE260" s="821"/>
      <c r="OEF260" s="821"/>
      <c r="OEG260" s="821"/>
      <c r="OEH260" s="821"/>
      <c r="OEI260" s="575"/>
      <c r="OEJ260" s="821"/>
      <c r="OEK260" s="821"/>
      <c r="OEL260" s="821"/>
      <c r="OEM260" s="821"/>
      <c r="OEN260" s="821"/>
      <c r="OEO260" s="821"/>
      <c r="OEP260" s="821"/>
      <c r="OEQ260" s="821"/>
      <c r="OER260" s="821"/>
      <c r="OES260" s="821"/>
      <c r="OET260" s="821"/>
      <c r="OEU260" s="821"/>
      <c r="OEV260" s="821"/>
      <c r="OEW260" s="821"/>
      <c r="OEX260" s="821"/>
      <c r="OEY260" s="821"/>
      <c r="OEZ260" s="821"/>
      <c r="OFA260" s="821"/>
      <c r="OFB260" s="821"/>
      <c r="OFC260" s="575"/>
      <c r="OFD260" s="821"/>
      <c r="OFE260" s="821"/>
      <c r="OFF260" s="821"/>
      <c r="OFG260" s="821"/>
      <c r="OFH260" s="821"/>
      <c r="OFI260" s="821"/>
      <c r="OFJ260" s="821"/>
      <c r="OFK260" s="821"/>
      <c r="OFL260" s="821"/>
      <c r="OFM260" s="821"/>
      <c r="OFN260" s="821"/>
      <c r="OFO260" s="821"/>
      <c r="OFP260" s="821"/>
      <c r="OFQ260" s="821"/>
      <c r="OFR260" s="821"/>
      <c r="OFS260" s="821"/>
      <c r="OFT260" s="821"/>
      <c r="OFU260" s="821"/>
      <c r="OFV260" s="821"/>
      <c r="OFW260" s="575"/>
      <c r="OFX260" s="821"/>
      <c r="OFY260" s="821"/>
      <c r="OFZ260" s="821"/>
      <c r="OGA260" s="821"/>
      <c r="OGB260" s="821"/>
      <c r="OGC260" s="821"/>
      <c r="OGD260" s="821"/>
      <c r="OGE260" s="821"/>
      <c r="OGF260" s="821"/>
      <c r="OGG260" s="821"/>
      <c r="OGH260" s="821"/>
      <c r="OGI260" s="821"/>
      <c r="OGJ260" s="821"/>
      <c r="OGK260" s="821"/>
      <c r="OGL260" s="821"/>
      <c r="OGM260" s="821"/>
      <c r="OGN260" s="821"/>
      <c r="OGO260" s="821"/>
      <c r="OGP260" s="821"/>
      <c r="OGQ260" s="575"/>
      <c r="OGR260" s="821"/>
      <c r="OGS260" s="821"/>
      <c r="OGT260" s="821"/>
      <c r="OGU260" s="821"/>
      <c r="OGV260" s="821"/>
      <c r="OGW260" s="821"/>
      <c r="OGX260" s="821"/>
      <c r="OGY260" s="821"/>
      <c r="OGZ260" s="821"/>
      <c r="OHA260" s="821"/>
      <c r="OHB260" s="821"/>
      <c r="OHC260" s="821"/>
      <c r="OHD260" s="821"/>
      <c r="OHE260" s="821"/>
      <c r="OHF260" s="821"/>
      <c r="OHG260" s="821"/>
      <c r="OHH260" s="821"/>
      <c r="OHI260" s="821"/>
      <c r="OHJ260" s="821"/>
      <c r="OHK260" s="575"/>
      <c r="OHL260" s="821"/>
      <c r="OHM260" s="821"/>
      <c r="OHN260" s="821"/>
      <c r="OHO260" s="821"/>
      <c r="OHP260" s="821"/>
      <c r="OHQ260" s="821"/>
      <c r="OHR260" s="821"/>
      <c r="OHS260" s="821"/>
      <c r="OHT260" s="821"/>
      <c r="OHU260" s="821"/>
      <c r="OHV260" s="821"/>
      <c r="OHW260" s="821"/>
      <c r="OHX260" s="821"/>
      <c r="OHY260" s="821"/>
      <c r="OHZ260" s="821"/>
      <c r="OIA260" s="821"/>
      <c r="OIB260" s="821"/>
      <c r="OIC260" s="821"/>
      <c r="OID260" s="821"/>
      <c r="OIE260" s="575"/>
      <c r="OIF260" s="821"/>
      <c r="OIG260" s="821"/>
      <c r="OIH260" s="821"/>
      <c r="OII260" s="821"/>
      <c r="OIJ260" s="821"/>
      <c r="OIK260" s="821"/>
      <c r="OIL260" s="821"/>
      <c r="OIM260" s="821"/>
      <c r="OIN260" s="821"/>
      <c r="OIO260" s="821"/>
      <c r="OIP260" s="821"/>
      <c r="OIQ260" s="821"/>
      <c r="OIR260" s="821"/>
      <c r="OIS260" s="821"/>
      <c r="OIT260" s="821"/>
      <c r="OIU260" s="821"/>
      <c r="OIV260" s="821"/>
      <c r="OIW260" s="821"/>
      <c r="OIX260" s="821"/>
      <c r="OIY260" s="575"/>
      <c r="OIZ260" s="821"/>
      <c r="OJA260" s="821"/>
      <c r="OJB260" s="821"/>
      <c r="OJC260" s="821"/>
      <c r="OJD260" s="821"/>
      <c r="OJE260" s="821"/>
      <c r="OJF260" s="821"/>
      <c r="OJG260" s="821"/>
      <c r="OJH260" s="821"/>
      <c r="OJI260" s="821"/>
      <c r="OJJ260" s="821"/>
      <c r="OJK260" s="821"/>
      <c r="OJL260" s="821"/>
      <c r="OJM260" s="821"/>
      <c r="OJN260" s="821"/>
      <c r="OJO260" s="821"/>
      <c r="OJP260" s="821"/>
      <c r="OJQ260" s="821"/>
      <c r="OJR260" s="821"/>
      <c r="OJS260" s="575"/>
      <c r="OJT260" s="821"/>
      <c r="OJU260" s="821"/>
      <c r="OJV260" s="821"/>
      <c r="OJW260" s="821"/>
      <c r="OJX260" s="821"/>
      <c r="OJY260" s="821"/>
      <c r="OJZ260" s="821"/>
      <c r="OKA260" s="821"/>
      <c r="OKB260" s="821"/>
      <c r="OKC260" s="821"/>
      <c r="OKD260" s="821"/>
      <c r="OKE260" s="821"/>
      <c r="OKF260" s="821"/>
      <c r="OKG260" s="821"/>
      <c r="OKH260" s="821"/>
      <c r="OKI260" s="821"/>
      <c r="OKJ260" s="821"/>
      <c r="OKK260" s="821"/>
      <c r="OKL260" s="821"/>
      <c r="OKM260" s="575"/>
      <c r="OKN260" s="821"/>
      <c r="OKO260" s="821"/>
      <c r="OKP260" s="821"/>
      <c r="OKQ260" s="821"/>
      <c r="OKR260" s="821"/>
      <c r="OKS260" s="821"/>
      <c r="OKT260" s="821"/>
      <c r="OKU260" s="821"/>
      <c r="OKV260" s="821"/>
      <c r="OKW260" s="821"/>
      <c r="OKX260" s="821"/>
      <c r="OKY260" s="821"/>
      <c r="OKZ260" s="821"/>
      <c r="OLA260" s="821"/>
      <c r="OLB260" s="821"/>
      <c r="OLC260" s="821"/>
      <c r="OLD260" s="821"/>
      <c r="OLE260" s="821"/>
      <c r="OLF260" s="821"/>
      <c r="OLG260" s="575"/>
      <c r="OLH260" s="821"/>
      <c r="OLI260" s="821"/>
      <c r="OLJ260" s="821"/>
      <c r="OLK260" s="821"/>
      <c r="OLL260" s="821"/>
      <c r="OLM260" s="821"/>
      <c r="OLN260" s="821"/>
      <c r="OLO260" s="821"/>
      <c r="OLP260" s="821"/>
      <c r="OLQ260" s="821"/>
      <c r="OLR260" s="821"/>
      <c r="OLS260" s="821"/>
      <c r="OLT260" s="821"/>
      <c r="OLU260" s="821"/>
      <c r="OLV260" s="821"/>
      <c r="OLW260" s="821"/>
      <c r="OLX260" s="821"/>
      <c r="OLY260" s="821"/>
      <c r="OLZ260" s="821"/>
      <c r="OMA260" s="575"/>
      <c r="OMB260" s="821"/>
      <c r="OMC260" s="821"/>
      <c r="OMD260" s="821"/>
      <c r="OME260" s="821"/>
      <c r="OMF260" s="821"/>
      <c r="OMG260" s="821"/>
      <c r="OMH260" s="821"/>
      <c r="OMI260" s="821"/>
      <c r="OMJ260" s="821"/>
      <c r="OMK260" s="821"/>
      <c r="OML260" s="821"/>
      <c r="OMM260" s="821"/>
      <c r="OMN260" s="821"/>
      <c r="OMO260" s="821"/>
      <c r="OMP260" s="821"/>
      <c r="OMQ260" s="821"/>
      <c r="OMR260" s="821"/>
      <c r="OMS260" s="821"/>
      <c r="OMT260" s="821"/>
      <c r="OMU260" s="575"/>
      <c r="OMV260" s="821"/>
      <c r="OMW260" s="821"/>
      <c r="OMX260" s="821"/>
      <c r="OMY260" s="821"/>
      <c r="OMZ260" s="821"/>
      <c r="ONA260" s="821"/>
      <c r="ONB260" s="821"/>
      <c r="ONC260" s="821"/>
      <c r="OND260" s="821"/>
      <c r="ONE260" s="821"/>
      <c r="ONF260" s="821"/>
      <c r="ONG260" s="821"/>
      <c r="ONH260" s="821"/>
      <c r="ONI260" s="821"/>
      <c r="ONJ260" s="821"/>
      <c r="ONK260" s="821"/>
      <c r="ONL260" s="821"/>
      <c r="ONM260" s="821"/>
      <c r="ONN260" s="821"/>
      <c r="ONO260" s="575"/>
      <c r="ONP260" s="821"/>
      <c r="ONQ260" s="821"/>
      <c r="ONR260" s="821"/>
      <c r="ONS260" s="821"/>
      <c r="ONT260" s="821"/>
      <c r="ONU260" s="821"/>
      <c r="ONV260" s="821"/>
      <c r="ONW260" s="821"/>
      <c r="ONX260" s="821"/>
      <c r="ONY260" s="821"/>
      <c r="ONZ260" s="821"/>
      <c r="OOA260" s="821"/>
      <c r="OOB260" s="821"/>
      <c r="OOC260" s="821"/>
      <c r="OOD260" s="821"/>
      <c r="OOE260" s="821"/>
      <c r="OOF260" s="821"/>
      <c r="OOG260" s="821"/>
      <c r="OOH260" s="821"/>
      <c r="OOI260" s="575"/>
      <c r="OOJ260" s="821"/>
      <c r="OOK260" s="821"/>
      <c r="OOL260" s="821"/>
      <c r="OOM260" s="821"/>
      <c r="OON260" s="821"/>
      <c r="OOO260" s="821"/>
      <c r="OOP260" s="821"/>
      <c r="OOQ260" s="821"/>
      <c r="OOR260" s="821"/>
      <c r="OOS260" s="821"/>
      <c r="OOT260" s="821"/>
      <c r="OOU260" s="821"/>
      <c r="OOV260" s="821"/>
      <c r="OOW260" s="821"/>
      <c r="OOX260" s="821"/>
      <c r="OOY260" s="821"/>
      <c r="OOZ260" s="821"/>
      <c r="OPA260" s="821"/>
      <c r="OPB260" s="821"/>
      <c r="OPC260" s="575"/>
      <c r="OPD260" s="821"/>
      <c r="OPE260" s="821"/>
      <c r="OPF260" s="821"/>
      <c r="OPG260" s="821"/>
      <c r="OPH260" s="821"/>
      <c r="OPI260" s="821"/>
      <c r="OPJ260" s="821"/>
      <c r="OPK260" s="821"/>
      <c r="OPL260" s="821"/>
      <c r="OPM260" s="821"/>
      <c r="OPN260" s="821"/>
      <c r="OPO260" s="821"/>
      <c r="OPP260" s="821"/>
      <c r="OPQ260" s="821"/>
      <c r="OPR260" s="821"/>
      <c r="OPS260" s="821"/>
      <c r="OPT260" s="821"/>
      <c r="OPU260" s="821"/>
      <c r="OPV260" s="821"/>
      <c r="OPW260" s="575"/>
      <c r="OPX260" s="821"/>
      <c r="OPY260" s="821"/>
      <c r="OPZ260" s="821"/>
      <c r="OQA260" s="821"/>
      <c r="OQB260" s="821"/>
      <c r="OQC260" s="821"/>
      <c r="OQD260" s="821"/>
      <c r="OQE260" s="821"/>
      <c r="OQF260" s="821"/>
      <c r="OQG260" s="821"/>
      <c r="OQH260" s="821"/>
      <c r="OQI260" s="821"/>
      <c r="OQJ260" s="821"/>
      <c r="OQK260" s="821"/>
      <c r="OQL260" s="821"/>
      <c r="OQM260" s="821"/>
      <c r="OQN260" s="821"/>
      <c r="OQO260" s="821"/>
      <c r="OQP260" s="821"/>
      <c r="OQQ260" s="575"/>
      <c r="OQR260" s="821"/>
      <c r="OQS260" s="821"/>
      <c r="OQT260" s="821"/>
      <c r="OQU260" s="821"/>
      <c r="OQV260" s="821"/>
      <c r="OQW260" s="821"/>
      <c r="OQX260" s="821"/>
      <c r="OQY260" s="821"/>
      <c r="OQZ260" s="821"/>
      <c r="ORA260" s="821"/>
      <c r="ORB260" s="821"/>
      <c r="ORC260" s="821"/>
      <c r="ORD260" s="821"/>
      <c r="ORE260" s="821"/>
      <c r="ORF260" s="821"/>
      <c r="ORG260" s="821"/>
      <c r="ORH260" s="821"/>
      <c r="ORI260" s="821"/>
      <c r="ORJ260" s="821"/>
      <c r="ORK260" s="575"/>
      <c r="ORL260" s="821"/>
      <c r="ORM260" s="821"/>
      <c r="ORN260" s="821"/>
      <c r="ORO260" s="821"/>
      <c r="ORP260" s="821"/>
      <c r="ORQ260" s="821"/>
      <c r="ORR260" s="821"/>
      <c r="ORS260" s="821"/>
      <c r="ORT260" s="821"/>
      <c r="ORU260" s="821"/>
      <c r="ORV260" s="821"/>
      <c r="ORW260" s="821"/>
      <c r="ORX260" s="821"/>
      <c r="ORY260" s="821"/>
      <c r="ORZ260" s="821"/>
      <c r="OSA260" s="821"/>
      <c r="OSB260" s="821"/>
      <c r="OSC260" s="821"/>
      <c r="OSD260" s="821"/>
      <c r="OSE260" s="575"/>
      <c r="OSF260" s="821"/>
      <c r="OSG260" s="821"/>
      <c r="OSH260" s="821"/>
      <c r="OSI260" s="821"/>
      <c r="OSJ260" s="821"/>
      <c r="OSK260" s="821"/>
      <c r="OSL260" s="821"/>
      <c r="OSM260" s="821"/>
      <c r="OSN260" s="821"/>
      <c r="OSO260" s="821"/>
      <c r="OSP260" s="821"/>
      <c r="OSQ260" s="821"/>
      <c r="OSR260" s="821"/>
      <c r="OSS260" s="821"/>
      <c r="OST260" s="821"/>
      <c r="OSU260" s="821"/>
      <c r="OSV260" s="821"/>
      <c r="OSW260" s="821"/>
      <c r="OSX260" s="821"/>
      <c r="OSY260" s="575"/>
      <c r="OSZ260" s="821"/>
      <c r="OTA260" s="821"/>
      <c r="OTB260" s="821"/>
      <c r="OTC260" s="821"/>
      <c r="OTD260" s="821"/>
      <c r="OTE260" s="821"/>
      <c r="OTF260" s="821"/>
      <c r="OTG260" s="821"/>
      <c r="OTH260" s="821"/>
      <c r="OTI260" s="821"/>
      <c r="OTJ260" s="821"/>
      <c r="OTK260" s="821"/>
      <c r="OTL260" s="821"/>
      <c r="OTM260" s="821"/>
      <c r="OTN260" s="821"/>
      <c r="OTO260" s="821"/>
      <c r="OTP260" s="821"/>
      <c r="OTQ260" s="821"/>
      <c r="OTR260" s="821"/>
      <c r="OTS260" s="575"/>
      <c r="OTT260" s="821"/>
      <c r="OTU260" s="821"/>
      <c r="OTV260" s="821"/>
      <c r="OTW260" s="821"/>
      <c r="OTX260" s="821"/>
      <c r="OTY260" s="821"/>
      <c r="OTZ260" s="821"/>
      <c r="OUA260" s="821"/>
      <c r="OUB260" s="821"/>
      <c r="OUC260" s="821"/>
      <c r="OUD260" s="821"/>
      <c r="OUE260" s="821"/>
      <c r="OUF260" s="821"/>
      <c r="OUG260" s="821"/>
      <c r="OUH260" s="821"/>
      <c r="OUI260" s="821"/>
      <c r="OUJ260" s="821"/>
      <c r="OUK260" s="821"/>
      <c r="OUL260" s="821"/>
      <c r="OUM260" s="575"/>
      <c r="OUN260" s="821"/>
      <c r="OUO260" s="821"/>
      <c r="OUP260" s="821"/>
      <c r="OUQ260" s="821"/>
      <c r="OUR260" s="821"/>
      <c r="OUS260" s="821"/>
      <c r="OUT260" s="821"/>
      <c r="OUU260" s="821"/>
      <c r="OUV260" s="821"/>
      <c r="OUW260" s="821"/>
      <c r="OUX260" s="821"/>
      <c r="OUY260" s="821"/>
      <c r="OUZ260" s="821"/>
      <c r="OVA260" s="821"/>
      <c r="OVB260" s="821"/>
      <c r="OVC260" s="821"/>
      <c r="OVD260" s="821"/>
      <c r="OVE260" s="821"/>
      <c r="OVF260" s="821"/>
      <c r="OVG260" s="575"/>
      <c r="OVH260" s="821"/>
      <c r="OVI260" s="821"/>
      <c r="OVJ260" s="821"/>
      <c r="OVK260" s="821"/>
      <c r="OVL260" s="821"/>
      <c r="OVM260" s="821"/>
      <c r="OVN260" s="821"/>
      <c r="OVO260" s="821"/>
      <c r="OVP260" s="821"/>
      <c r="OVQ260" s="821"/>
      <c r="OVR260" s="821"/>
      <c r="OVS260" s="821"/>
      <c r="OVT260" s="821"/>
      <c r="OVU260" s="821"/>
      <c r="OVV260" s="821"/>
      <c r="OVW260" s="821"/>
      <c r="OVX260" s="821"/>
      <c r="OVY260" s="821"/>
      <c r="OVZ260" s="821"/>
      <c r="OWA260" s="575"/>
      <c r="OWB260" s="821"/>
      <c r="OWC260" s="821"/>
      <c r="OWD260" s="821"/>
      <c r="OWE260" s="821"/>
      <c r="OWF260" s="821"/>
      <c r="OWG260" s="821"/>
      <c r="OWH260" s="821"/>
      <c r="OWI260" s="821"/>
      <c r="OWJ260" s="821"/>
      <c r="OWK260" s="821"/>
      <c r="OWL260" s="821"/>
      <c r="OWM260" s="821"/>
      <c r="OWN260" s="821"/>
      <c r="OWO260" s="821"/>
      <c r="OWP260" s="821"/>
      <c r="OWQ260" s="821"/>
      <c r="OWR260" s="821"/>
      <c r="OWS260" s="821"/>
      <c r="OWT260" s="821"/>
      <c r="OWU260" s="575"/>
      <c r="OWV260" s="821"/>
      <c r="OWW260" s="821"/>
      <c r="OWX260" s="821"/>
      <c r="OWY260" s="821"/>
      <c r="OWZ260" s="821"/>
      <c r="OXA260" s="821"/>
      <c r="OXB260" s="821"/>
      <c r="OXC260" s="821"/>
      <c r="OXD260" s="821"/>
      <c r="OXE260" s="821"/>
      <c r="OXF260" s="821"/>
      <c r="OXG260" s="821"/>
      <c r="OXH260" s="821"/>
      <c r="OXI260" s="821"/>
      <c r="OXJ260" s="821"/>
      <c r="OXK260" s="821"/>
      <c r="OXL260" s="821"/>
      <c r="OXM260" s="821"/>
      <c r="OXN260" s="821"/>
      <c r="OXO260" s="575"/>
      <c r="OXP260" s="821"/>
      <c r="OXQ260" s="821"/>
      <c r="OXR260" s="821"/>
      <c r="OXS260" s="821"/>
      <c r="OXT260" s="821"/>
      <c r="OXU260" s="821"/>
      <c r="OXV260" s="821"/>
      <c r="OXW260" s="821"/>
      <c r="OXX260" s="821"/>
      <c r="OXY260" s="821"/>
      <c r="OXZ260" s="821"/>
      <c r="OYA260" s="821"/>
      <c r="OYB260" s="821"/>
      <c r="OYC260" s="821"/>
      <c r="OYD260" s="821"/>
      <c r="OYE260" s="821"/>
      <c r="OYF260" s="821"/>
      <c r="OYG260" s="821"/>
      <c r="OYH260" s="821"/>
      <c r="OYI260" s="575"/>
      <c r="OYJ260" s="821"/>
      <c r="OYK260" s="821"/>
      <c r="OYL260" s="821"/>
      <c r="OYM260" s="821"/>
      <c r="OYN260" s="821"/>
      <c r="OYO260" s="821"/>
      <c r="OYP260" s="821"/>
      <c r="OYQ260" s="821"/>
      <c r="OYR260" s="821"/>
      <c r="OYS260" s="821"/>
      <c r="OYT260" s="821"/>
      <c r="OYU260" s="821"/>
      <c r="OYV260" s="821"/>
      <c r="OYW260" s="821"/>
      <c r="OYX260" s="821"/>
      <c r="OYY260" s="821"/>
      <c r="OYZ260" s="821"/>
      <c r="OZA260" s="821"/>
      <c r="OZB260" s="821"/>
      <c r="OZC260" s="575"/>
      <c r="OZD260" s="821"/>
      <c r="OZE260" s="821"/>
      <c r="OZF260" s="821"/>
      <c r="OZG260" s="821"/>
      <c r="OZH260" s="821"/>
      <c r="OZI260" s="821"/>
      <c r="OZJ260" s="821"/>
      <c r="OZK260" s="821"/>
      <c r="OZL260" s="821"/>
      <c r="OZM260" s="821"/>
      <c r="OZN260" s="821"/>
      <c r="OZO260" s="821"/>
      <c r="OZP260" s="821"/>
      <c r="OZQ260" s="821"/>
      <c r="OZR260" s="821"/>
      <c r="OZS260" s="821"/>
      <c r="OZT260" s="821"/>
      <c r="OZU260" s="821"/>
      <c r="OZV260" s="821"/>
      <c r="OZW260" s="575"/>
      <c r="OZX260" s="821"/>
      <c r="OZY260" s="821"/>
      <c r="OZZ260" s="821"/>
      <c r="PAA260" s="821"/>
      <c r="PAB260" s="821"/>
      <c r="PAC260" s="821"/>
      <c r="PAD260" s="821"/>
      <c r="PAE260" s="821"/>
      <c r="PAF260" s="821"/>
      <c r="PAG260" s="821"/>
      <c r="PAH260" s="821"/>
      <c r="PAI260" s="821"/>
      <c r="PAJ260" s="821"/>
      <c r="PAK260" s="821"/>
      <c r="PAL260" s="821"/>
      <c r="PAM260" s="821"/>
      <c r="PAN260" s="821"/>
      <c r="PAO260" s="821"/>
      <c r="PAP260" s="821"/>
      <c r="PAQ260" s="575"/>
      <c r="PAR260" s="821"/>
      <c r="PAS260" s="821"/>
      <c r="PAT260" s="821"/>
      <c r="PAU260" s="821"/>
      <c r="PAV260" s="821"/>
      <c r="PAW260" s="821"/>
      <c r="PAX260" s="821"/>
      <c r="PAY260" s="821"/>
      <c r="PAZ260" s="821"/>
      <c r="PBA260" s="821"/>
      <c r="PBB260" s="821"/>
      <c r="PBC260" s="821"/>
      <c r="PBD260" s="821"/>
      <c r="PBE260" s="821"/>
      <c r="PBF260" s="821"/>
      <c r="PBG260" s="821"/>
      <c r="PBH260" s="821"/>
      <c r="PBI260" s="821"/>
      <c r="PBJ260" s="821"/>
      <c r="PBK260" s="575"/>
      <c r="PBL260" s="821"/>
      <c r="PBM260" s="821"/>
      <c r="PBN260" s="821"/>
      <c r="PBO260" s="821"/>
      <c r="PBP260" s="821"/>
      <c r="PBQ260" s="821"/>
      <c r="PBR260" s="821"/>
      <c r="PBS260" s="821"/>
      <c r="PBT260" s="821"/>
      <c r="PBU260" s="821"/>
      <c r="PBV260" s="821"/>
      <c r="PBW260" s="821"/>
      <c r="PBX260" s="821"/>
      <c r="PBY260" s="821"/>
      <c r="PBZ260" s="821"/>
      <c r="PCA260" s="821"/>
      <c r="PCB260" s="821"/>
      <c r="PCC260" s="821"/>
      <c r="PCD260" s="821"/>
      <c r="PCE260" s="575"/>
      <c r="PCF260" s="821"/>
      <c r="PCG260" s="821"/>
      <c r="PCH260" s="821"/>
      <c r="PCI260" s="821"/>
      <c r="PCJ260" s="821"/>
      <c r="PCK260" s="821"/>
      <c r="PCL260" s="821"/>
      <c r="PCM260" s="821"/>
      <c r="PCN260" s="821"/>
      <c r="PCO260" s="821"/>
      <c r="PCP260" s="821"/>
      <c r="PCQ260" s="821"/>
      <c r="PCR260" s="821"/>
      <c r="PCS260" s="821"/>
      <c r="PCT260" s="821"/>
      <c r="PCU260" s="821"/>
      <c r="PCV260" s="821"/>
      <c r="PCW260" s="821"/>
      <c r="PCX260" s="821"/>
      <c r="PCY260" s="575"/>
      <c r="PCZ260" s="821"/>
      <c r="PDA260" s="821"/>
      <c r="PDB260" s="821"/>
      <c r="PDC260" s="821"/>
      <c r="PDD260" s="821"/>
      <c r="PDE260" s="821"/>
      <c r="PDF260" s="821"/>
      <c r="PDG260" s="821"/>
      <c r="PDH260" s="821"/>
      <c r="PDI260" s="821"/>
      <c r="PDJ260" s="821"/>
      <c r="PDK260" s="821"/>
      <c r="PDL260" s="821"/>
      <c r="PDM260" s="821"/>
      <c r="PDN260" s="821"/>
      <c r="PDO260" s="821"/>
      <c r="PDP260" s="821"/>
      <c r="PDQ260" s="821"/>
      <c r="PDR260" s="821"/>
      <c r="PDS260" s="575"/>
      <c r="PDT260" s="821"/>
      <c r="PDU260" s="821"/>
      <c r="PDV260" s="821"/>
      <c r="PDW260" s="821"/>
      <c r="PDX260" s="821"/>
      <c r="PDY260" s="821"/>
      <c r="PDZ260" s="821"/>
      <c r="PEA260" s="821"/>
      <c r="PEB260" s="821"/>
      <c r="PEC260" s="821"/>
      <c r="PED260" s="821"/>
      <c r="PEE260" s="821"/>
      <c r="PEF260" s="821"/>
      <c r="PEG260" s="821"/>
      <c r="PEH260" s="821"/>
      <c r="PEI260" s="821"/>
      <c r="PEJ260" s="821"/>
      <c r="PEK260" s="821"/>
      <c r="PEL260" s="821"/>
      <c r="PEM260" s="575"/>
      <c r="PEN260" s="821"/>
      <c r="PEO260" s="821"/>
      <c r="PEP260" s="821"/>
      <c r="PEQ260" s="821"/>
      <c r="PER260" s="821"/>
      <c r="PES260" s="821"/>
      <c r="PET260" s="821"/>
      <c r="PEU260" s="821"/>
      <c r="PEV260" s="821"/>
      <c r="PEW260" s="821"/>
      <c r="PEX260" s="821"/>
      <c r="PEY260" s="821"/>
      <c r="PEZ260" s="821"/>
      <c r="PFA260" s="821"/>
      <c r="PFB260" s="821"/>
      <c r="PFC260" s="821"/>
      <c r="PFD260" s="821"/>
      <c r="PFE260" s="821"/>
      <c r="PFF260" s="821"/>
      <c r="PFG260" s="575"/>
      <c r="PFH260" s="821"/>
      <c r="PFI260" s="821"/>
      <c r="PFJ260" s="821"/>
      <c r="PFK260" s="821"/>
      <c r="PFL260" s="821"/>
      <c r="PFM260" s="821"/>
      <c r="PFN260" s="821"/>
      <c r="PFO260" s="821"/>
      <c r="PFP260" s="821"/>
      <c r="PFQ260" s="821"/>
      <c r="PFR260" s="821"/>
      <c r="PFS260" s="821"/>
      <c r="PFT260" s="821"/>
      <c r="PFU260" s="821"/>
      <c r="PFV260" s="821"/>
      <c r="PFW260" s="821"/>
      <c r="PFX260" s="821"/>
      <c r="PFY260" s="821"/>
      <c r="PFZ260" s="821"/>
      <c r="PGA260" s="575"/>
      <c r="PGB260" s="821"/>
      <c r="PGC260" s="821"/>
      <c r="PGD260" s="821"/>
      <c r="PGE260" s="821"/>
      <c r="PGF260" s="821"/>
      <c r="PGG260" s="821"/>
      <c r="PGH260" s="821"/>
      <c r="PGI260" s="821"/>
      <c r="PGJ260" s="821"/>
      <c r="PGK260" s="821"/>
      <c r="PGL260" s="821"/>
      <c r="PGM260" s="821"/>
      <c r="PGN260" s="821"/>
      <c r="PGO260" s="821"/>
      <c r="PGP260" s="821"/>
      <c r="PGQ260" s="821"/>
      <c r="PGR260" s="821"/>
      <c r="PGS260" s="821"/>
      <c r="PGT260" s="821"/>
      <c r="PGU260" s="575"/>
      <c r="PGV260" s="821"/>
      <c r="PGW260" s="821"/>
      <c r="PGX260" s="821"/>
      <c r="PGY260" s="821"/>
      <c r="PGZ260" s="821"/>
      <c r="PHA260" s="821"/>
      <c r="PHB260" s="821"/>
      <c r="PHC260" s="821"/>
      <c r="PHD260" s="821"/>
      <c r="PHE260" s="821"/>
      <c r="PHF260" s="821"/>
      <c r="PHG260" s="821"/>
      <c r="PHH260" s="821"/>
      <c r="PHI260" s="821"/>
      <c r="PHJ260" s="821"/>
      <c r="PHK260" s="821"/>
      <c r="PHL260" s="821"/>
      <c r="PHM260" s="821"/>
      <c r="PHN260" s="821"/>
      <c r="PHO260" s="575"/>
      <c r="PHP260" s="821"/>
      <c r="PHQ260" s="821"/>
      <c r="PHR260" s="821"/>
      <c r="PHS260" s="821"/>
      <c r="PHT260" s="821"/>
      <c r="PHU260" s="821"/>
      <c r="PHV260" s="821"/>
      <c r="PHW260" s="821"/>
      <c r="PHX260" s="821"/>
      <c r="PHY260" s="821"/>
      <c r="PHZ260" s="821"/>
      <c r="PIA260" s="821"/>
      <c r="PIB260" s="821"/>
      <c r="PIC260" s="821"/>
      <c r="PID260" s="821"/>
      <c r="PIE260" s="821"/>
      <c r="PIF260" s="821"/>
      <c r="PIG260" s="821"/>
      <c r="PIH260" s="821"/>
      <c r="PII260" s="575"/>
      <c r="PIJ260" s="821"/>
      <c r="PIK260" s="821"/>
      <c r="PIL260" s="821"/>
      <c r="PIM260" s="821"/>
      <c r="PIN260" s="821"/>
      <c r="PIO260" s="821"/>
      <c r="PIP260" s="821"/>
      <c r="PIQ260" s="821"/>
      <c r="PIR260" s="821"/>
      <c r="PIS260" s="821"/>
      <c r="PIT260" s="821"/>
      <c r="PIU260" s="821"/>
      <c r="PIV260" s="821"/>
      <c r="PIW260" s="821"/>
      <c r="PIX260" s="821"/>
      <c r="PIY260" s="821"/>
      <c r="PIZ260" s="821"/>
      <c r="PJA260" s="821"/>
      <c r="PJB260" s="821"/>
      <c r="PJC260" s="575"/>
      <c r="PJD260" s="821"/>
      <c r="PJE260" s="821"/>
      <c r="PJF260" s="821"/>
      <c r="PJG260" s="821"/>
      <c r="PJH260" s="821"/>
      <c r="PJI260" s="821"/>
      <c r="PJJ260" s="821"/>
      <c r="PJK260" s="821"/>
      <c r="PJL260" s="821"/>
      <c r="PJM260" s="821"/>
      <c r="PJN260" s="821"/>
      <c r="PJO260" s="821"/>
      <c r="PJP260" s="821"/>
      <c r="PJQ260" s="821"/>
      <c r="PJR260" s="821"/>
      <c r="PJS260" s="821"/>
      <c r="PJT260" s="821"/>
      <c r="PJU260" s="821"/>
      <c r="PJV260" s="821"/>
      <c r="PJW260" s="575"/>
      <c r="PJX260" s="821"/>
      <c r="PJY260" s="821"/>
      <c r="PJZ260" s="821"/>
      <c r="PKA260" s="821"/>
      <c r="PKB260" s="821"/>
      <c r="PKC260" s="821"/>
      <c r="PKD260" s="821"/>
      <c r="PKE260" s="821"/>
      <c r="PKF260" s="821"/>
      <c r="PKG260" s="821"/>
      <c r="PKH260" s="821"/>
      <c r="PKI260" s="821"/>
      <c r="PKJ260" s="821"/>
      <c r="PKK260" s="821"/>
      <c r="PKL260" s="821"/>
      <c r="PKM260" s="821"/>
      <c r="PKN260" s="821"/>
      <c r="PKO260" s="821"/>
      <c r="PKP260" s="821"/>
      <c r="PKQ260" s="575"/>
      <c r="PKR260" s="821"/>
      <c r="PKS260" s="821"/>
      <c r="PKT260" s="821"/>
      <c r="PKU260" s="821"/>
      <c r="PKV260" s="821"/>
      <c r="PKW260" s="821"/>
      <c r="PKX260" s="821"/>
      <c r="PKY260" s="821"/>
      <c r="PKZ260" s="821"/>
      <c r="PLA260" s="821"/>
      <c r="PLB260" s="821"/>
      <c r="PLC260" s="821"/>
      <c r="PLD260" s="821"/>
      <c r="PLE260" s="821"/>
      <c r="PLF260" s="821"/>
      <c r="PLG260" s="821"/>
      <c r="PLH260" s="821"/>
      <c r="PLI260" s="821"/>
      <c r="PLJ260" s="821"/>
      <c r="PLK260" s="575"/>
      <c r="PLL260" s="821"/>
      <c r="PLM260" s="821"/>
      <c r="PLN260" s="821"/>
      <c r="PLO260" s="821"/>
      <c r="PLP260" s="821"/>
      <c r="PLQ260" s="821"/>
      <c r="PLR260" s="821"/>
      <c r="PLS260" s="821"/>
      <c r="PLT260" s="821"/>
      <c r="PLU260" s="821"/>
      <c r="PLV260" s="821"/>
      <c r="PLW260" s="821"/>
      <c r="PLX260" s="821"/>
      <c r="PLY260" s="821"/>
      <c r="PLZ260" s="821"/>
      <c r="PMA260" s="821"/>
      <c r="PMB260" s="821"/>
      <c r="PMC260" s="821"/>
      <c r="PMD260" s="821"/>
      <c r="PME260" s="575"/>
      <c r="PMF260" s="821"/>
      <c r="PMG260" s="821"/>
      <c r="PMH260" s="821"/>
      <c r="PMI260" s="821"/>
      <c r="PMJ260" s="821"/>
      <c r="PMK260" s="821"/>
      <c r="PML260" s="821"/>
      <c r="PMM260" s="821"/>
      <c r="PMN260" s="821"/>
      <c r="PMO260" s="821"/>
      <c r="PMP260" s="821"/>
      <c r="PMQ260" s="821"/>
      <c r="PMR260" s="821"/>
      <c r="PMS260" s="821"/>
      <c r="PMT260" s="821"/>
      <c r="PMU260" s="821"/>
      <c r="PMV260" s="821"/>
      <c r="PMW260" s="821"/>
      <c r="PMX260" s="821"/>
      <c r="PMY260" s="575"/>
      <c r="PMZ260" s="821"/>
      <c r="PNA260" s="821"/>
      <c r="PNB260" s="821"/>
      <c r="PNC260" s="821"/>
      <c r="PND260" s="821"/>
      <c r="PNE260" s="821"/>
      <c r="PNF260" s="821"/>
      <c r="PNG260" s="821"/>
      <c r="PNH260" s="821"/>
      <c r="PNI260" s="821"/>
      <c r="PNJ260" s="821"/>
      <c r="PNK260" s="821"/>
      <c r="PNL260" s="821"/>
      <c r="PNM260" s="821"/>
      <c r="PNN260" s="821"/>
      <c r="PNO260" s="821"/>
      <c r="PNP260" s="821"/>
      <c r="PNQ260" s="821"/>
      <c r="PNR260" s="821"/>
      <c r="PNS260" s="575"/>
      <c r="PNT260" s="821"/>
      <c r="PNU260" s="821"/>
      <c r="PNV260" s="821"/>
      <c r="PNW260" s="821"/>
      <c r="PNX260" s="821"/>
      <c r="PNY260" s="821"/>
      <c r="PNZ260" s="821"/>
      <c r="POA260" s="821"/>
      <c r="POB260" s="821"/>
      <c r="POC260" s="821"/>
      <c r="POD260" s="821"/>
      <c r="POE260" s="821"/>
      <c r="POF260" s="821"/>
      <c r="POG260" s="821"/>
      <c r="POH260" s="821"/>
      <c r="POI260" s="821"/>
      <c r="POJ260" s="821"/>
      <c r="POK260" s="821"/>
      <c r="POL260" s="821"/>
      <c r="POM260" s="575"/>
      <c r="PON260" s="821"/>
      <c r="POO260" s="821"/>
      <c r="POP260" s="821"/>
      <c r="POQ260" s="821"/>
      <c r="POR260" s="821"/>
      <c r="POS260" s="821"/>
      <c r="POT260" s="821"/>
      <c r="POU260" s="821"/>
      <c r="POV260" s="821"/>
      <c r="POW260" s="821"/>
      <c r="POX260" s="821"/>
      <c r="POY260" s="821"/>
      <c r="POZ260" s="821"/>
      <c r="PPA260" s="821"/>
      <c r="PPB260" s="821"/>
      <c r="PPC260" s="821"/>
      <c r="PPD260" s="821"/>
      <c r="PPE260" s="821"/>
      <c r="PPF260" s="821"/>
      <c r="PPG260" s="575"/>
      <c r="PPH260" s="821"/>
      <c r="PPI260" s="821"/>
      <c r="PPJ260" s="821"/>
      <c r="PPK260" s="821"/>
      <c r="PPL260" s="821"/>
      <c r="PPM260" s="821"/>
      <c r="PPN260" s="821"/>
      <c r="PPO260" s="821"/>
      <c r="PPP260" s="821"/>
      <c r="PPQ260" s="821"/>
      <c r="PPR260" s="821"/>
      <c r="PPS260" s="821"/>
      <c r="PPT260" s="821"/>
      <c r="PPU260" s="821"/>
      <c r="PPV260" s="821"/>
      <c r="PPW260" s="821"/>
      <c r="PPX260" s="821"/>
      <c r="PPY260" s="821"/>
      <c r="PPZ260" s="821"/>
      <c r="PQA260" s="575"/>
      <c r="PQB260" s="821"/>
      <c r="PQC260" s="821"/>
      <c r="PQD260" s="821"/>
      <c r="PQE260" s="821"/>
      <c r="PQF260" s="821"/>
      <c r="PQG260" s="821"/>
      <c r="PQH260" s="821"/>
      <c r="PQI260" s="821"/>
      <c r="PQJ260" s="821"/>
      <c r="PQK260" s="821"/>
      <c r="PQL260" s="821"/>
      <c r="PQM260" s="821"/>
      <c r="PQN260" s="821"/>
      <c r="PQO260" s="821"/>
      <c r="PQP260" s="821"/>
      <c r="PQQ260" s="821"/>
      <c r="PQR260" s="821"/>
      <c r="PQS260" s="821"/>
      <c r="PQT260" s="821"/>
      <c r="PQU260" s="575"/>
      <c r="PQV260" s="821"/>
      <c r="PQW260" s="821"/>
      <c r="PQX260" s="821"/>
      <c r="PQY260" s="821"/>
      <c r="PQZ260" s="821"/>
      <c r="PRA260" s="821"/>
      <c r="PRB260" s="821"/>
      <c r="PRC260" s="821"/>
      <c r="PRD260" s="821"/>
      <c r="PRE260" s="821"/>
      <c r="PRF260" s="821"/>
      <c r="PRG260" s="821"/>
      <c r="PRH260" s="821"/>
      <c r="PRI260" s="821"/>
      <c r="PRJ260" s="821"/>
      <c r="PRK260" s="821"/>
      <c r="PRL260" s="821"/>
      <c r="PRM260" s="821"/>
      <c r="PRN260" s="821"/>
      <c r="PRO260" s="575"/>
      <c r="PRP260" s="821"/>
      <c r="PRQ260" s="821"/>
      <c r="PRR260" s="821"/>
      <c r="PRS260" s="821"/>
      <c r="PRT260" s="821"/>
      <c r="PRU260" s="821"/>
      <c r="PRV260" s="821"/>
      <c r="PRW260" s="821"/>
      <c r="PRX260" s="821"/>
      <c r="PRY260" s="821"/>
      <c r="PRZ260" s="821"/>
      <c r="PSA260" s="821"/>
      <c r="PSB260" s="821"/>
      <c r="PSC260" s="821"/>
      <c r="PSD260" s="821"/>
      <c r="PSE260" s="821"/>
      <c r="PSF260" s="821"/>
      <c r="PSG260" s="821"/>
      <c r="PSH260" s="821"/>
      <c r="PSI260" s="575"/>
      <c r="PSJ260" s="821"/>
      <c r="PSK260" s="821"/>
      <c r="PSL260" s="821"/>
      <c r="PSM260" s="821"/>
      <c r="PSN260" s="821"/>
      <c r="PSO260" s="821"/>
      <c r="PSP260" s="821"/>
      <c r="PSQ260" s="821"/>
      <c r="PSR260" s="821"/>
      <c r="PSS260" s="821"/>
      <c r="PST260" s="821"/>
      <c r="PSU260" s="821"/>
      <c r="PSV260" s="821"/>
      <c r="PSW260" s="821"/>
      <c r="PSX260" s="821"/>
      <c r="PSY260" s="821"/>
      <c r="PSZ260" s="821"/>
      <c r="PTA260" s="821"/>
      <c r="PTB260" s="821"/>
      <c r="PTC260" s="575"/>
      <c r="PTD260" s="821"/>
      <c r="PTE260" s="821"/>
      <c r="PTF260" s="821"/>
      <c r="PTG260" s="821"/>
      <c r="PTH260" s="821"/>
      <c r="PTI260" s="821"/>
      <c r="PTJ260" s="821"/>
      <c r="PTK260" s="821"/>
      <c r="PTL260" s="821"/>
      <c r="PTM260" s="821"/>
      <c r="PTN260" s="821"/>
      <c r="PTO260" s="821"/>
      <c r="PTP260" s="821"/>
      <c r="PTQ260" s="821"/>
      <c r="PTR260" s="821"/>
      <c r="PTS260" s="821"/>
      <c r="PTT260" s="821"/>
      <c r="PTU260" s="821"/>
      <c r="PTV260" s="821"/>
      <c r="PTW260" s="575"/>
      <c r="PTX260" s="821"/>
      <c r="PTY260" s="821"/>
      <c r="PTZ260" s="821"/>
      <c r="PUA260" s="821"/>
      <c r="PUB260" s="821"/>
      <c r="PUC260" s="821"/>
      <c r="PUD260" s="821"/>
      <c r="PUE260" s="821"/>
      <c r="PUF260" s="821"/>
      <c r="PUG260" s="821"/>
      <c r="PUH260" s="821"/>
      <c r="PUI260" s="821"/>
      <c r="PUJ260" s="821"/>
      <c r="PUK260" s="821"/>
      <c r="PUL260" s="821"/>
      <c r="PUM260" s="821"/>
      <c r="PUN260" s="821"/>
      <c r="PUO260" s="821"/>
      <c r="PUP260" s="821"/>
      <c r="PUQ260" s="575"/>
      <c r="PUR260" s="821"/>
      <c r="PUS260" s="821"/>
      <c r="PUT260" s="821"/>
      <c r="PUU260" s="821"/>
      <c r="PUV260" s="821"/>
      <c r="PUW260" s="821"/>
      <c r="PUX260" s="821"/>
      <c r="PUY260" s="821"/>
      <c r="PUZ260" s="821"/>
      <c r="PVA260" s="821"/>
      <c r="PVB260" s="821"/>
      <c r="PVC260" s="821"/>
      <c r="PVD260" s="821"/>
      <c r="PVE260" s="821"/>
      <c r="PVF260" s="821"/>
      <c r="PVG260" s="821"/>
      <c r="PVH260" s="821"/>
      <c r="PVI260" s="821"/>
      <c r="PVJ260" s="821"/>
      <c r="PVK260" s="575"/>
      <c r="PVL260" s="821"/>
      <c r="PVM260" s="821"/>
      <c r="PVN260" s="821"/>
      <c r="PVO260" s="821"/>
      <c r="PVP260" s="821"/>
      <c r="PVQ260" s="821"/>
      <c r="PVR260" s="821"/>
      <c r="PVS260" s="821"/>
      <c r="PVT260" s="821"/>
      <c r="PVU260" s="821"/>
      <c r="PVV260" s="821"/>
      <c r="PVW260" s="821"/>
      <c r="PVX260" s="821"/>
      <c r="PVY260" s="821"/>
      <c r="PVZ260" s="821"/>
      <c r="PWA260" s="821"/>
      <c r="PWB260" s="821"/>
      <c r="PWC260" s="821"/>
      <c r="PWD260" s="821"/>
      <c r="PWE260" s="575"/>
      <c r="PWF260" s="821"/>
      <c r="PWG260" s="821"/>
      <c r="PWH260" s="821"/>
      <c r="PWI260" s="821"/>
      <c r="PWJ260" s="821"/>
      <c r="PWK260" s="821"/>
      <c r="PWL260" s="821"/>
      <c r="PWM260" s="821"/>
      <c r="PWN260" s="821"/>
      <c r="PWO260" s="821"/>
      <c r="PWP260" s="821"/>
      <c r="PWQ260" s="821"/>
      <c r="PWR260" s="821"/>
      <c r="PWS260" s="821"/>
      <c r="PWT260" s="821"/>
      <c r="PWU260" s="821"/>
      <c r="PWV260" s="821"/>
      <c r="PWW260" s="821"/>
      <c r="PWX260" s="821"/>
      <c r="PWY260" s="575"/>
      <c r="PWZ260" s="821"/>
      <c r="PXA260" s="821"/>
      <c r="PXB260" s="821"/>
      <c r="PXC260" s="821"/>
      <c r="PXD260" s="821"/>
      <c r="PXE260" s="821"/>
      <c r="PXF260" s="821"/>
      <c r="PXG260" s="821"/>
      <c r="PXH260" s="821"/>
      <c r="PXI260" s="821"/>
      <c r="PXJ260" s="821"/>
      <c r="PXK260" s="821"/>
      <c r="PXL260" s="821"/>
      <c r="PXM260" s="821"/>
      <c r="PXN260" s="821"/>
      <c r="PXO260" s="821"/>
      <c r="PXP260" s="821"/>
      <c r="PXQ260" s="821"/>
      <c r="PXR260" s="821"/>
      <c r="PXS260" s="575"/>
      <c r="PXT260" s="821"/>
      <c r="PXU260" s="821"/>
      <c r="PXV260" s="821"/>
      <c r="PXW260" s="821"/>
      <c r="PXX260" s="821"/>
      <c r="PXY260" s="821"/>
      <c r="PXZ260" s="821"/>
      <c r="PYA260" s="821"/>
      <c r="PYB260" s="821"/>
      <c r="PYC260" s="821"/>
      <c r="PYD260" s="821"/>
      <c r="PYE260" s="821"/>
      <c r="PYF260" s="821"/>
      <c r="PYG260" s="821"/>
      <c r="PYH260" s="821"/>
      <c r="PYI260" s="821"/>
      <c r="PYJ260" s="821"/>
      <c r="PYK260" s="821"/>
      <c r="PYL260" s="821"/>
      <c r="PYM260" s="575"/>
      <c r="PYN260" s="821"/>
      <c r="PYO260" s="821"/>
      <c r="PYP260" s="821"/>
      <c r="PYQ260" s="821"/>
      <c r="PYR260" s="821"/>
      <c r="PYS260" s="821"/>
      <c r="PYT260" s="821"/>
      <c r="PYU260" s="821"/>
      <c r="PYV260" s="821"/>
      <c r="PYW260" s="821"/>
      <c r="PYX260" s="821"/>
      <c r="PYY260" s="821"/>
      <c r="PYZ260" s="821"/>
      <c r="PZA260" s="821"/>
      <c r="PZB260" s="821"/>
      <c r="PZC260" s="821"/>
      <c r="PZD260" s="821"/>
      <c r="PZE260" s="821"/>
      <c r="PZF260" s="821"/>
      <c r="PZG260" s="575"/>
      <c r="PZH260" s="821"/>
      <c r="PZI260" s="821"/>
      <c r="PZJ260" s="821"/>
      <c r="PZK260" s="821"/>
      <c r="PZL260" s="821"/>
      <c r="PZM260" s="821"/>
      <c r="PZN260" s="821"/>
      <c r="PZO260" s="821"/>
      <c r="PZP260" s="821"/>
      <c r="PZQ260" s="821"/>
      <c r="PZR260" s="821"/>
      <c r="PZS260" s="821"/>
      <c r="PZT260" s="821"/>
      <c r="PZU260" s="821"/>
      <c r="PZV260" s="821"/>
      <c r="PZW260" s="821"/>
      <c r="PZX260" s="821"/>
      <c r="PZY260" s="821"/>
      <c r="PZZ260" s="821"/>
      <c r="QAA260" s="575"/>
      <c r="QAB260" s="821"/>
      <c r="QAC260" s="821"/>
      <c r="QAD260" s="821"/>
      <c r="QAE260" s="821"/>
      <c r="QAF260" s="821"/>
      <c r="QAG260" s="821"/>
      <c r="QAH260" s="821"/>
      <c r="QAI260" s="821"/>
      <c r="QAJ260" s="821"/>
      <c r="QAK260" s="821"/>
      <c r="QAL260" s="821"/>
      <c r="QAM260" s="821"/>
      <c r="QAN260" s="821"/>
      <c r="QAO260" s="821"/>
      <c r="QAP260" s="821"/>
      <c r="QAQ260" s="821"/>
      <c r="QAR260" s="821"/>
      <c r="QAS260" s="821"/>
      <c r="QAT260" s="821"/>
      <c r="QAU260" s="575"/>
      <c r="QAV260" s="821"/>
      <c r="QAW260" s="821"/>
      <c r="QAX260" s="821"/>
      <c r="QAY260" s="821"/>
      <c r="QAZ260" s="821"/>
      <c r="QBA260" s="821"/>
      <c r="QBB260" s="821"/>
      <c r="QBC260" s="821"/>
      <c r="QBD260" s="821"/>
      <c r="QBE260" s="821"/>
      <c r="QBF260" s="821"/>
      <c r="QBG260" s="821"/>
      <c r="QBH260" s="821"/>
      <c r="QBI260" s="821"/>
      <c r="QBJ260" s="821"/>
      <c r="QBK260" s="821"/>
      <c r="QBL260" s="821"/>
      <c r="QBM260" s="821"/>
      <c r="QBN260" s="821"/>
      <c r="QBO260" s="575"/>
      <c r="QBP260" s="821"/>
      <c r="QBQ260" s="821"/>
      <c r="QBR260" s="821"/>
      <c r="QBS260" s="821"/>
      <c r="QBT260" s="821"/>
      <c r="QBU260" s="821"/>
      <c r="QBV260" s="821"/>
      <c r="QBW260" s="821"/>
      <c r="QBX260" s="821"/>
      <c r="QBY260" s="821"/>
      <c r="QBZ260" s="821"/>
      <c r="QCA260" s="821"/>
      <c r="QCB260" s="821"/>
      <c r="QCC260" s="821"/>
      <c r="QCD260" s="821"/>
      <c r="QCE260" s="821"/>
      <c r="QCF260" s="821"/>
      <c r="QCG260" s="821"/>
      <c r="QCH260" s="821"/>
      <c r="QCI260" s="575"/>
      <c r="QCJ260" s="821"/>
      <c r="QCK260" s="821"/>
      <c r="QCL260" s="821"/>
      <c r="QCM260" s="821"/>
      <c r="QCN260" s="821"/>
      <c r="QCO260" s="821"/>
      <c r="QCP260" s="821"/>
      <c r="QCQ260" s="821"/>
      <c r="QCR260" s="821"/>
      <c r="QCS260" s="821"/>
      <c r="QCT260" s="821"/>
      <c r="QCU260" s="821"/>
      <c r="QCV260" s="821"/>
      <c r="QCW260" s="821"/>
      <c r="QCX260" s="821"/>
      <c r="QCY260" s="821"/>
      <c r="QCZ260" s="821"/>
      <c r="QDA260" s="821"/>
      <c r="QDB260" s="821"/>
      <c r="QDC260" s="575"/>
      <c r="QDD260" s="821"/>
      <c r="QDE260" s="821"/>
      <c r="QDF260" s="821"/>
      <c r="QDG260" s="821"/>
      <c r="QDH260" s="821"/>
      <c r="QDI260" s="821"/>
      <c r="QDJ260" s="821"/>
      <c r="QDK260" s="821"/>
      <c r="QDL260" s="821"/>
      <c r="QDM260" s="821"/>
      <c r="QDN260" s="821"/>
      <c r="QDO260" s="821"/>
      <c r="QDP260" s="821"/>
      <c r="QDQ260" s="821"/>
      <c r="QDR260" s="821"/>
      <c r="QDS260" s="821"/>
      <c r="QDT260" s="821"/>
      <c r="QDU260" s="821"/>
      <c r="QDV260" s="821"/>
      <c r="QDW260" s="575"/>
      <c r="QDX260" s="821"/>
      <c r="QDY260" s="821"/>
      <c r="QDZ260" s="821"/>
      <c r="QEA260" s="821"/>
      <c r="QEB260" s="821"/>
      <c r="QEC260" s="821"/>
      <c r="QED260" s="821"/>
      <c r="QEE260" s="821"/>
      <c r="QEF260" s="821"/>
      <c r="QEG260" s="821"/>
      <c r="QEH260" s="821"/>
      <c r="QEI260" s="821"/>
      <c r="QEJ260" s="821"/>
      <c r="QEK260" s="821"/>
      <c r="QEL260" s="821"/>
      <c r="QEM260" s="821"/>
      <c r="QEN260" s="821"/>
      <c r="QEO260" s="821"/>
      <c r="QEP260" s="821"/>
      <c r="QEQ260" s="575"/>
      <c r="QER260" s="821"/>
      <c r="QES260" s="821"/>
      <c r="QET260" s="821"/>
      <c r="QEU260" s="821"/>
      <c r="QEV260" s="821"/>
      <c r="QEW260" s="821"/>
      <c r="QEX260" s="821"/>
      <c r="QEY260" s="821"/>
      <c r="QEZ260" s="821"/>
      <c r="QFA260" s="821"/>
      <c r="QFB260" s="821"/>
      <c r="QFC260" s="821"/>
      <c r="QFD260" s="821"/>
      <c r="QFE260" s="821"/>
      <c r="QFF260" s="821"/>
      <c r="QFG260" s="821"/>
      <c r="QFH260" s="821"/>
      <c r="QFI260" s="821"/>
      <c r="QFJ260" s="821"/>
      <c r="QFK260" s="575"/>
      <c r="QFL260" s="821"/>
      <c r="QFM260" s="821"/>
      <c r="QFN260" s="821"/>
      <c r="QFO260" s="821"/>
      <c r="QFP260" s="821"/>
      <c r="QFQ260" s="821"/>
      <c r="QFR260" s="821"/>
      <c r="QFS260" s="821"/>
      <c r="QFT260" s="821"/>
      <c r="QFU260" s="821"/>
      <c r="QFV260" s="821"/>
      <c r="QFW260" s="821"/>
      <c r="QFX260" s="821"/>
      <c r="QFY260" s="821"/>
      <c r="QFZ260" s="821"/>
      <c r="QGA260" s="821"/>
      <c r="QGB260" s="821"/>
      <c r="QGC260" s="821"/>
      <c r="QGD260" s="821"/>
      <c r="QGE260" s="575"/>
      <c r="QGF260" s="821"/>
      <c r="QGG260" s="821"/>
      <c r="QGH260" s="821"/>
      <c r="QGI260" s="821"/>
      <c r="QGJ260" s="821"/>
      <c r="QGK260" s="821"/>
      <c r="QGL260" s="821"/>
      <c r="QGM260" s="821"/>
      <c r="QGN260" s="821"/>
      <c r="QGO260" s="821"/>
      <c r="QGP260" s="821"/>
      <c r="QGQ260" s="821"/>
      <c r="QGR260" s="821"/>
      <c r="QGS260" s="821"/>
      <c r="QGT260" s="821"/>
      <c r="QGU260" s="821"/>
      <c r="QGV260" s="821"/>
      <c r="QGW260" s="821"/>
      <c r="QGX260" s="821"/>
      <c r="QGY260" s="575"/>
      <c r="QGZ260" s="821"/>
      <c r="QHA260" s="821"/>
      <c r="QHB260" s="821"/>
      <c r="QHC260" s="821"/>
      <c r="QHD260" s="821"/>
      <c r="QHE260" s="821"/>
      <c r="QHF260" s="821"/>
      <c r="QHG260" s="821"/>
      <c r="QHH260" s="821"/>
      <c r="QHI260" s="821"/>
      <c r="QHJ260" s="821"/>
      <c r="QHK260" s="821"/>
      <c r="QHL260" s="821"/>
      <c r="QHM260" s="821"/>
      <c r="QHN260" s="821"/>
      <c r="QHO260" s="821"/>
      <c r="QHP260" s="821"/>
      <c r="QHQ260" s="821"/>
      <c r="QHR260" s="821"/>
      <c r="QHS260" s="575"/>
      <c r="QHT260" s="821"/>
      <c r="QHU260" s="821"/>
      <c r="QHV260" s="821"/>
      <c r="QHW260" s="821"/>
      <c r="QHX260" s="821"/>
      <c r="QHY260" s="821"/>
      <c r="QHZ260" s="821"/>
      <c r="QIA260" s="821"/>
      <c r="QIB260" s="821"/>
      <c r="QIC260" s="821"/>
      <c r="QID260" s="821"/>
      <c r="QIE260" s="821"/>
      <c r="QIF260" s="821"/>
      <c r="QIG260" s="821"/>
      <c r="QIH260" s="821"/>
      <c r="QII260" s="821"/>
      <c r="QIJ260" s="821"/>
      <c r="QIK260" s="821"/>
      <c r="QIL260" s="821"/>
      <c r="QIM260" s="575"/>
      <c r="QIN260" s="821"/>
      <c r="QIO260" s="821"/>
      <c r="QIP260" s="821"/>
      <c r="QIQ260" s="821"/>
      <c r="QIR260" s="821"/>
      <c r="QIS260" s="821"/>
      <c r="QIT260" s="821"/>
      <c r="QIU260" s="821"/>
      <c r="QIV260" s="821"/>
      <c r="QIW260" s="821"/>
      <c r="QIX260" s="821"/>
      <c r="QIY260" s="821"/>
      <c r="QIZ260" s="821"/>
      <c r="QJA260" s="821"/>
      <c r="QJB260" s="821"/>
      <c r="QJC260" s="821"/>
      <c r="QJD260" s="821"/>
      <c r="QJE260" s="821"/>
      <c r="QJF260" s="821"/>
      <c r="QJG260" s="575"/>
      <c r="QJH260" s="821"/>
      <c r="QJI260" s="821"/>
      <c r="QJJ260" s="821"/>
      <c r="QJK260" s="821"/>
      <c r="QJL260" s="821"/>
      <c r="QJM260" s="821"/>
      <c r="QJN260" s="821"/>
      <c r="QJO260" s="821"/>
      <c r="QJP260" s="821"/>
      <c r="QJQ260" s="821"/>
      <c r="QJR260" s="821"/>
      <c r="QJS260" s="821"/>
      <c r="QJT260" s="821"/>
      <c r="QJU260" s="821"/>
      <c r="QJV260" s="821"/>
      <c r="QJW260" s="821"/>
      <c r="QJX260" s="821"/>
      <c r="QJY260" s="821"/>
      <c r="QJZ260" s="821"/>
      <c r="QKA260" s="575"/>
      <c r="QKB260" s="821"/>
      <c r="QKC260" s="821"/>
      <c r="QKD260" s="821"/>
      <c r="QKE260" s="821"/>
      <c r="QKF260" s="821"/>
      <c r="QKG260" s="821"/>
      <c r="QKH260" s="821"/>
      <c r="QKI260" s="821"/>
      <c r="QKJ260" s="821"/>
      <c r="QKK260" s="821"/>
      <c r="QKL260" s="821"/>
      <c r="QKM260" s="821"/>
      <c r="QKN260" s="821"/>
      <c r="QKO260" s="821"/>
      <c r="QKP260" s="821"/>
      <c r="QKQ260" s="821"/>
      <c r="QKR260" s="821"/>
      <c r="QKS260" s="821"/>
      <c r="QKT260" s="821"/>
      <c r="QKU260" s="575"/>
      <c r="QKV260" s="821"/>
      <c r="QKW260" s="821"/>
      <c r="QKX260" s="821"/>
      <c r="QKY260" s="821"/>
      <c r="QKZ260" s="821"/>
      <c r="QLA260" s="821"/>
      <c r="QLB260" s="821"/>
      <c r="QLC260" s="821"/>
      <c r="QLD260" s="821"/>
      <c r="QLE260" s="821"/>
      <c r="QLF260" s="821"/>
      <c r="QLG260" s="821"/>
      <c r="QLH260" s="821"/>
      <c r="QLI260" s="821"/>
      <c r="QLJ260" s="821"/>
      <c r="QLK260" s="821"/>
      <c r="QLL260" s="821"/>
      <c r="QLM260" s="821"/>
      <c r="QLN260" s="821"/>
      <c r="QLO260" s="575"/>
      <c r="QLP260" s="821"/>
      <c r="QLQ260" s="821"/>
      <c r="QLR260" s="821"/>
      <c r="QLS260" s="821"/>
      <c r="QLT260" s="821"/>
      <c r="QLU260" s="821"/>
      <c r="QLV260" s="821"/>
      <c r="QLW260" s="821"/>
      <c r="QLX260" s="821"/>
      <c r="QLY260" s="821"/>
      <c r="QLZ260" s="821"/>
      <c r="QMA260" s="821"/>
      <c r="QMB260" s="821"/>
      <c r="QMC260" s="821"/>
      <c r="QMD260" s="821"/>
      <c r="QME260" s="821"/>
      <c r="QMF260" s="821"/>
      <c r="QMG260" s="821"/>
      <c r="QMH260" s="821"/>
      <c r="QMI260" s="575"/>
      <c r="QMJ260" s="821"/>
      <c r="QMK260" s="821"/>
      <c r="QML260" s="821"/>
      <c r="QMM260" s="821"/>
      <c r="QMN260" s="821"/>
      <c r="QMO260" s="821"/>
      <c r="QMP260" s="821"/>
      <c r="QMQ260" s="821"/>
      <c r="QMR260" s="821"/>
      <c r="QMS260" s="821"/>
      <c r="QMT260" s="821"/>
      <c r="QMU260" s="821"/>
      <c r="QMV260" s="821"/>
      <c r="QMW260" s="821"/>
      <c r="QMX260" s="821"/>
      <c r="QMY260" s="821"/>
      <c r="QMZ260" s="821"/>
      <c r="QNA260" s="821"/>
      <c r="QNB260" s="821"/>
      <c r="QNC260" s="575"/>
      <c r="QND260" s="821"/>
      <c r="QNE260" s="821"/>
      <c r="QNF260" s="821"/>
      <c r="QNG260" s="821"/>
      <c r="QNH260" s="821"/>
      <c r="QNI260" s="821"/>
      <c r="QNJ260" s="821"/>
      <c r="QNK260" s="821"/>
      <c r="QNL260" s="821"/>
      <c r="QNM260" s="821"/>
      <c r="QNN260" s="821"/>
      <c r="QNO260" s="821"/>
      <c r="QNP260" s="821"/>
      <c r="QNQ260" s="821"/>
      <c r="QNR260" s="821"/>
      <c r="QNS260" s="821"/>
      <c r="QNT260" s="821"/>
      <c r="QNU260" s="821"/>
      <c r="QNV260" s="821"/>
      <c r="QNW260" s="575"/>
      <c r="QNX260" s="821"/>
      <c r="QNY260" s="821"/>
      <c r="QNZ260" s="821"/>
      <c r="QOA260" s="821"/>
      <c r="QOB260" s="821"/>
      <c r="QOC260" s="821"/>
      <c r="QOD260" s="821"/>
      <c r="QOE260" s="821"/>
      <c r="QOF260" s="821"/>
      <c r="QOG260" s="821"/>
      <c r="QOH260" s="821"/>
      <c r="QOI260" s="821"/>
      <c r="QOJ260" s="821"/>
      <c r="QOK260" s="821"/>
      <c r="QOL260" s="821"/>
      <c r="QOM260" s="821"/>
      <c r="QON260" s="821"/>
      <c r="QOO260" s="821"/>
      <c r="QOP260" s="821"/>
      <c r="QOQ260" s="575"/>
      <c r="QOR260" s="821"/>
      <c r="QOS260" s="821"/>
      <c r="QOT260" s="821"/>
      <c r="QOU260" s="821"/>
      <c r="QOV260" s="821"/>
      <c r="QOW260" s="821"/>
      <c r="QOX260" s="821"/>
      <c r="QOY260" s="821"/>
      <c r="QOZ260" s="821"/>
      <c r="QPA260" s="821"/>
      <c r="QPB260" s="821"/>
      <c r="QPC260" s="821"/>
      <c r="QPD260" s="821"/>
      <c r="QPE260" s="821"/>
      <c r="QPF260" s="821"/>
      <c r="QPG260" s="821"/>
      <c r="QPH260" s="821"/>
      <c r="QPI260" s="821"/>
      <c r="QPJ260" s="821"/>
      <c r="QPK260" s="575"/>
      <c r="QPL260" s="821"/>
      <c r="QPM260" s="821"/>
      <c r="QPN260" s="821"/>
      <c r="QPO260" s="821"/>
      <c r="QPP260" s="821"/>
      <c r="QPQ260" s="821"/>
      <c r="QPR260" s="821"/>
      <c r="QPS260" s="821"/>
      <c r="QPT260" s="821"/>
      <c r="QPU260" s="821"/>
      <c r="QPV260" s="821"/>
      <c r="QPW260" s="821"/>
      <c r="QPX260" s="821"/>
      <c r="QPY260" s="821"/>
      <c r="QPZ260" s="821"/>
      <c r="QQA260" s="821"/>
      <c r="QQB260" s="821"/>
      <c r="QQC260" s="821"/>
      <c r="QQD260" s="821"/>
      <c r="QQE260" s="575"/>
      <c r="QQF260" s="821"/>
      <c r="QQG260" s="821"/>
      <c r="QQH260" s="821"/>
      <c r="QQI260" s="821"/>
      <c r="QQJ260" s="821"/>
      <c r="QQK260" s="821"/>
      <c r="QQL260" s="821"/>
      <c r="QQM260" s="821"/>
      <c r="QQN260" s="821"/>
      <c r="QQO260" s="821"/>
      <c r="QQP260" s="821"/>
      <c r="QQQ260" s="821"/>
      <c r="QQR260" s="821"/>
      <c r="QQS260" s="821"/>
      <c r="QQT260" s="821"/>
      <c r="QQU260" s="821"/>
      <c r="QQV260" s="821"/>
      <c r="QQW260" s="821"/>
      <c r="QQX260" s="821"/>
      <c r="QQY260" s="575"/>
      <c r="QQZ260" s="821"/>
      <c r="QRA260" s="821"/>
      <c r="QRB260" s="821"/>
      <c r="QRC260" s="821"/>
      <c r="QRD260" s="821"/>
      <c r="QRE260" s="821"/>
      <c r="QRF260" s="821"/>
      <c r="QRG260" s="821"/>
      <c r="QRH260" s="821"/>
      <c r="QRI260" s="821"/>
      <c r="QRJ260" s="821"/>
      <c r="QRK260" s="821"/>
      <c r="QRL260" s="821"/>
      <c r="QRM260" s="821"/>
      <c r="QRN260" s="821"/>
      <c r="QRO260" s="821"/>
      <c r="QRP260" s="821"/>
      <c r="QRQ260" s="821"/>
      <c r="QRR260" s="821"/>
      <c r="QRS260" s="575"/>
      <c r="QRT260" s="821"/>
      <c r="QRU260" s="821"/>
      <c r="QRV260" s="821"/>
      <c r="QRW260" s="821"/>
      <c r="QRX260" s="821"/>
      <c r="QRY260" s="821"/>
      <c r="QRZ260" s="821"/>
      <c r="QSA260" s="821"/>
      <c r="QSB260" s="821"/>
      <c r="QSC260" s="821"/>
      <c r="QSD260" s="821"/>
      <c r="QSE260" s="821"/>
      <c r="QSF260" s="821"/>
      <c r="QSG260" s="821"/>
      <c r="QSH260" s="821"/>
      <c r="QSI260" s="821"/>
      <c r="QSJ260" s="821"/>
      <c r="QSK260" s="821"/>
      <c r="QSL260" s="821"/>
      <c r="QSM260" s="575"/>
      <c r="QSN260" s="821"/>
      <c r="QSO260" s="821"/>
      <c r="QSP260" s="821"/>
      <c r="QSQ260" s="821"/>
      <c r="QSR260" s="821"/>
      <c r="QSS260" s="821"/>
      <c r="QST260" s="821"/>
      <c r="QSU260" s="821"/>
      <c r="QSV260" s="821"/>
      <c r="QSW260" s="821"/>
      <c r="QSX260" s="821"/>
      <c r="QSY260" s="821"/>
      <c r="QSZ260" s="821"/>
      <c r="QTA260" s="821"/>
      <c r="QTB260" s="821"/>
      <c r="QTC260" s="821"/>
      <c r="QTD260" s="821"/>
      <c r="QTE260" s="821"/>
      <c r="QTF260" s="821"/>
      <c r="QTG260" s="575"/>
      <c r="QTH260" s="821"/>
      <c r="QTI260" s="821"/>
      <c r="QTJ260" s="821"/>
      <c r="QTK260" s="821"/>
      <c r="QTL260" s="821"/>
      <c r="QTM260" s="821"/>
      <c r="QTN260" s="821"/>
      <c r="QTO260" s="821"/>
      <c r="QTP260" s="821"/>
      <c r="QTQ260" s="821"/>
      <c r="QTR260" s="821"/>
      <c r="QTS260" s="821"/>
      <c r="QTT260" s="821"/>
      <c r="QTU260" s="821"/>
      <c r="QTV260" s="821"/>
      <c r="QTW260" s="821"/>
      <c r="QTX260" s="821"/>
      <c r="QTY260" s="821"/>
      <c r="QTZ260" s="821"/>
      <c r="QUA260" s="575"/>
      <c r="QUB260" s="821"/>
      <c r="QUC260" s="821"/>
      <c r="QUD260" s="821"/>
      <c r="QUE260" s="821"/>
      <c r="QUF260" s="821"/>
      <c r="QUG260" s="821"/>
      <c r="QUH260" s="821"/>
      <c r="QUI260" s="821"/>
      <c r="QUJ260" s="821"/>
      <c r="QUK260" s="821"/>
      <c r="QUL260" s="821"/>
      <c r="QUM260" s="821"/>
      <c r="QUN260" s="821"/>
      <c r="QUO260" s="821"/>
      <c r="QUP260" s="821"/>
      <c r="QUQ260" s="821"/>
      <c r="QUR260" s="821"/>
      <c r="QUS260" s="821"/>
      <c r="QUT260" s="821"/>
      <c r="QUU260" s="575"/>
      <c r="QUV260" s="821"/>
      <c r="QUW260" s="821"/>
      <c r="QUX260" s="821"/>
      <c r="QUY260" s="821"/>
      <c r="QUZ260" s="821"/>
      <c r="QVA260" s="821"/>
      <c r="QVB260" s="821"/>
      <c r="QVC260" s="821"/>
      <c r="QVD260" s="821"/>
      <c r="QVE260" s="821"/>
      <c r="QVF260" s="821"/>
      <c r="QVG260" s="821"/>
      <c r="QVH260" s="821"/>
      <c r="QVI260" s="821"/>
      <c r="QVJ260" s="821"/>
      <c r="QVK260" s="821"/>
      <c r="QVL260" s="821"/>
      <c r="QVM260" s="821"/>
      <c r="QVN260" s="821"/>
      <c r="QVO260" s="575"/>
      <c r="QVP260" s="821"/>
      <c r="QVQ260" s="821"/>
      <c r="QVR260" s="821"/>
      <c r="QVS260" s="821"/>
      <c r="QVT260" s="821"/>
      <c r="QVU260" s="821"/>
      <c r="QVV260" s="821"/>
      <c r="QVW260" s="821"/>
      <c r="QVX260" s="821"/>
      <c r="QVY260" s="821"/>
      <c r="QVZ260" s="821"/>
      <c r="QWA260" s="821"/>
      <c r="QWB260" s="821"/>
      <c r="QWC260" s="821"/>
      <c r="QWD260" s="821"/>
      <c r="QWE260" s="821"/>
      <c r="QWF260" s="821"/>
      <c r="QWG260" s="821"/>
      <c r="QWH260" s="821"/>
      <c r="QWI260" s="575"/>
      <c r="QWJ260" s="821"/>
      <c r="QWK260" s="821"/>
      <c r="QWL260" s="821"/>
      <c r="QWM260" s="821"/>
      <c r="QWN260" s="821"/>
      <c r="QWO260" s="821"/>
      <c r="QWP260" s="821"/>
      <c r="QWQ260" s="821"/>
      <c r="QWR260" s="821"/>
      <c r="QWS260" s="821"/>
      <c r="QWT260" s="821"/>
      <c r="QWU260" s="821"/>
      <c r="QWV260" s="821"/>
      <c r="QWW260" s="821"/>
      <c r="QWX260" s="821"/>
      <c r="QWY260" s="821"/>
      <c r="QWZ260" s="821"/>
      <c r="QXA260" s="821"/>
      <c r="QXB260" s="821"/>
      <c r="QXC260" s="575"/>
      <c r="QXD260" s="821"/>
      <c r="QXE260" s="821"/>
      <c r="QXF260" s="821"/>
      <c r="QXG260" s="821"/>
      <c r="QXH260" s="821"/>
      <c r="QXI260" s="821"/>
      <c r="QXJ260" s="821"/>
      <c r="QXK260" s="821"/>
      <c r="QXL260" s="821"/>
      <c r="QXM260" s="821"/>
      <c r="QXN260" s="821"/>
      <c r="QXO260" s="821"/>
      <c r="QXP260" s="821"/>
      <c r="QXQ260" s="821"/>
      <c r="QXR260" s="821"/>
      <c r="QXS260" s="821"/>
      <c r="QXT260" s="821"/>
      <c r="QXU260" s="821"/>
      <c r="QXV260" s="821"/>
      <c r="QXW260" s="575"/>
      <c r="QXX260" s="821"/>
      <c r="QXY260" s="821"/>
      <c r="QXZ260" s="821"/>
      <c r="QYA260" s="821"/>
      <c r="QYB260" s="821"/>
      <c r="QYC260" s="821"/>
      <c r="QYD260" s="821"/>
      <c r="QYE260" s="821"/>
      <c r="QYF260" s="821"/>
      <c r="QYG260" s="821"/>
      <c r="QYH260" s="821"/>
      <c r="QYI260" s="821"/>
      <c r="QYJ260" s="821"/>
      <c r="QYK260" s="821"/>
      <c r="QYL260" s="821"/>
      <c r="QYM260" s="821"/>
      <c r="QYN260" s="821"/>
      <c r="QYO260" s="821"/>
      <c r="QYP260" s="821"/>
      <c r="QYQ260" s="575"/>
      <c r="QYR260" s="821"/>
      <c r="QYS260" s="821"/>
      <c r="QYT260" s="821"/>
      <c r="QYU260" s="821"/>
      <c r="QYV260" s="821"/>
      <c r="QYW260" s="821"/>
      <c r="QYX260" s="821"/>
      <c r="QYY260" s="821"/>
      <c r="QYZ260" s="821"/>
      <c r="QZA260" s="821"/>
      <c r="QZB260" s="821"/>
      <c r="QZC260" s="821"/>
      <c r="QZD260" s="821"/>
      <c r="QZE260" s="821"/>
      <c r="QZF260" s="821"/>
      <c r="QZG260" s="821"/>
      <c r="QZH260" s="821"/>
      <c r="QZI260" s="821"/>
      <c r="QZJ260" s="821"/>
      <c r="QZK260" s="575"/>
      <c r="QZL260" s="821"/>
      <c r="QZM260" s="821"/>
      <c r="QZN260" s="821"/>
      <c r="QZO260" s="821"/>
      <c r="QZP260" s="821"/>
      <c r="QZQ260" s="821"/>
      <c r="QZR260" s="821"/>
      <c r="QZS260" s="821"/>
      <c r="QZT260" s="821"/>
      <c r="QZU260" s="821"/>
      <c r="QZV260" s="821"/>
      <c r="QZW260" s="821"/>
      <c r="QZX260" s="821"/>
      <c r="QZY260" s="821"/>
      <c r="QZZ260" s="821"/>
      <c r="RAA260" s="821"/>
      <c r="RAB260" s="821"/>
      <c r="RAC260" s="821"/>
      <c r="RAD260" s="821"/>
      <c r="RAE260" s="575"/>
      <c r="RAF260" s="821"/>
      <c r="RAG260" s="821"/>
      <c r="RAH260" s="821"/>
      <c r="RAI260" s="821"/>
      <c r="RAJ260" s="821"/>
      <c r="RAK260" s="821"/>
      <c r="RAL260" s="821"/>
      <c r="RAM260" s="821"/>
      <c r="RAN260" s="821"/>
      <c r="RAO260" s="821"/>
      <c r="RAP260" s="821"/>
      <c r="RAQ260" s="821"/>
      <c r="RAR260" s="821"/>
      <c r="RAS260" s="821"/>
      <c r="RAT260" s="821"/>
      <c r="RAU260" s="821"/>
      <c r="RAV260" s="821"/>
      <c r="RAW260" s="821"/>
      <c r="RAX260" s="821"/>
      <c r="RAY260" s="575"/>
      <c r="RAZ260" s="821"/>
      <c r="RBA260" s="821"/>
      <c r="RBB260" s="821"/>
      <c r="RBC260" s="821"/>
      <c r="RBD260" s="821"/>
      <c r="RBE260" s="821"/>
      <c r="RBF260" s="821"/>
      <c r="RBG260" s="821"/>
      <c r="RBH260" s="821"/>
      <c r="RBI260" s="821"/>
      <c r="RBJ260" s="821"/>
      <c r="RBK260" s="821"/>
      <c r="RBL260" s="821"/>
      <c r="RBM260" s="821"/>
      <c r="RBN260" s="821"/>
      <c r="RBO260" s="821"/>
      <c r="RBP260" s="821"/>
      <c r="RBQ260" s="821"/>
      <c r="RBR260" s="821"/>
      <c r="RBS260" s="575"/>
      <c r="RBT260" s="821"/>
      <c r="RBU260" s="821"/>
      <c r="RBV260" s="821"/>
      <c r="RBW260" s="821"/>
      <c r="RBX260" s="821"/>
      <c r="RBY260" s="821"/>
      <c r="RBZ260" s="821"/>
      <c r="RCA260" s="821"/>
      <c r="RCB260" s="821"/>
      <c r="RCC260" s="821"/>
      <c r="RCD260" s="821"/>
      <c r="RCE260" s="821"/>
      <c r="RCF260" s="821"/>
      <c r="RCG260" s="821"/>
      <c r="RCH260" s="821"/>
      <c r="RCI260" s="821"/>
      <c r="RCJ260" s="821"/>
      <c r="RCK260" s="821"/>
      <c r="RCL260" s="821"/>
      <c r="RCM260" s="575"/>
      <c r="RCN260" s="821"/>
      <c r="RCO260" s="821"/>
      <c r="RCP260" s="821"/>
      <c r="RCQ260" s="821"/>
      <c r="RCR260" s="821"/>
      <c r="RCS260" s="821"/>
      <c r="RCT260" s="821"/>
      <c r="RCU260" s="821"/>
      <c r="RCV260" s="821"/>
      <c r="RCW260" s="821"/>
      <c r="RCX260" s="821"/>
      <c r="RCY260" s="821"/>
      <c r="RCZ260" s="821"/>
      <c r="RDA260" s="821"/>
      <c r="RDB260" s="821"/>
      <c r="RDC260" s="821"/>
      <c r="RDD260" s="821"/>
      <c r="RDE260" s="821"/>
      <c r="RDF260" s="821"/>
      <c r="RDG260" s="575"/>
      <c r="RDH260" s="821"/>
      <c r="RDI260" s="821"/>
      <c r="RDJ260" s="821"/>
      <c r="RDK260" s="821"/>
      <c r="RDL260" s="821"/>
      <c r="RDM260" s="821"/>
      <c r="RDN260" s="821"/>
      <c r="RDO260" s="821"/>
      <c r="RDP260" s="821"/>
      <c r="RDQ260" s="821"/>
      <c r="RDR260" s="821"/>
      <c r="RDS260" s="821"/>
      <c r="RDT260" s="821"/>
      <c r="RDU260" s="821"/>
      <c r="RDV260" s="821"/>
      <c r="RDW260" s="821"/>
      <c r="RDX260" s="821"/>
      <c r="RDY260" s="821"/>
      <c r="RDZ260" s="821"/>
      <c r="REA260" s="575"/>
      <c r="REB260" s="821"/>
      <c r="REC260" s="821"/>
      <c r="RED260" s="821"/>
      <c r="REE260" s="821"/>
      <c r="REF260" s="821"/>
      <c r="REG260" s="821"/>
      <c r="REH260" s="821"/>
      <c r="REI260" s="821"/>
      <c r="REJ260" s="821"/>
      <c r="REK260" s="821"/>
      <c r="REL260" s="821"/>
      <c r="REM260" s="821"/>
      <c r="REN260" s="821"/>
      <c r="REO260" s="821"/>
      <c r="REP260" s="821"/>
      <c r="REQ260" s="821"/>
      <c r="RER260" s="821"/>
      <c r="RES260" s="821"/>
      <c r="RET260" s="821"/>
      <c r="REU260" s="575"/>
      <c r="REV260" s="821"/>
      <c r="REW260" s="821"/>
      <c r="REX260" s="821"/>
      <c r="REY260" s="821"/>
      <c r="REZ260" s="821"/>
      <c r="RFA260" s="821"/>
      <c r="RFB260" s="821"/>
      <c r="RFC260" s="821"/>
      <c r="RFD260" s="821"/>
      <c r="RFE260" s="821"/>
      <c r="RFF260" s="821"/>
      <c r="RFG260" s="821"/>
      <c r="RFH260" s="821"/>
      <c r="RFI260" s="821"/>
      <c r="RFJ260" s="821"/>
      <c r="RFK260" s="821"/>
      <c r="RFL260" s="821"/>
      <c r="RFM260" s="821"/>
      <c r="RFN260" s="821"/>
      <c r="RFO260" s="575"/>
      <c r="RFP260" s="821"/>
      <c r="RFQ260" s="821"/>
      <c r="RFR260" s="821"/>
      <c r="RFS260" s="821"/>
      <c r="RFT260" s="821"/>
      <c r="RFU260" s="821"/>
      <c r="RFV260" s="821"/>
      <c r="RFW260" s="821"/>
      <c r="RFX260" s="821"/>
      <c r="RFY260" s="821"/>
      <c r="RFZ260" s="821"/>
      <c r="RGA260" s="821"/>
      <c r="RGB260" s="821"/>
      <c r="RGC260" s="821"/>
      <c r="RGD260" s="821"/>
      <c r="RGE260" s="821"/>
      <c r="RGF260" s="821"/>
      <c r="RGG260" s="821"/>
      <c r="RGH260" s="821"/>
      <c r="RGI260" s="575"/>
      <c r="RGJ260" s="821"/>
      <c r="RGK260" s="821"/>
      <c r="RGL260" s="821"/>
      <c r="RGM260" s="821"/>
      <c r="RGN260" s="821"/>
      <c r="RGO260" s="821"/>
      <c r="RGP260" s="821"/>
      <c r="RGQ260" s="821"/>
      <c r="RGR260" s="821"/>
      <c r="RGS260" s="821"/>
      <c r="RGT260" s="821"/>
      <c r="RGU260" s="821"/>
      <c r="RGV260" s="821"/>
      <c r="RGW260" s="821"/>
      <c r="RGX260" s="821"/>
      <c r="RGY260" s="821"/>
      <c r="RGZ260" s="821"/>
      <c r="RHA260" s="821"/>
      <c r="RHB260" s="821"/>
      <c r="RHC260" s="575"/>
      <c r="RHD260" s="821"/>
      <c r="RHE260" s="821"/>
      <c r="RHF260" s="821"/>
      <c r="RHG260" s="821"/>
      <c r="RHH260" s="821"/>
      <c r="RHI260" s="821"/>
      <c r="RHJ260" s="821"/>
      <c r="RHK260" s="821"/>
      <c r="RHL260" s="821"/>
      <c r="RHM260" s="821"/>
      <c r="RHN260" s="821"/>
      <c r="RHO260" s="821"/>
      <c r="RHP260" s="821"/>
      <c r="RHQ260" s="821"/>
      <c r="RHR260" s="821"/>
      <c r="RHS260" s="821"/>
      <c r="RHT260" s="821"/>
      <c r="RHU260" s="821"/>
      <c r="RHV260" s="821"/>
      <c r="RHW260" s="575"/>
      <c r="RHX260" s="821"/>
      <c r="RHY260" s="821"/>
      <c r="RHZ260" s="821"/>
      <c r="RIA260" s="821"/>
      <c r="RIB260" s="821"/>
      <c r="RIC260" s="821"/>
      <c r="RID260" s="821"/>
      <c r="RIE260" s="821"/>
      <c r="RIF260" s="821"/>
      <c r="RIG260" s="821"/>
      <c r="RIH260" s="821"/>
      <c r="RII260" s="821"/>
      <c r="RIJ260" s="821"/>
      <c r="RIK260" s="821"/>
      <c r="RIL260" s="821"/>
      <c r="RIM260" s="821"/>
      <c r="RIN260" s="821"/>
      <c r="RIO260" s="821"/>
      <c r="RIP260" s="821"/>
      <c r="RIQ260" s="575"/>
      <c r="RIR260" s="821"/>
      <c r="RIS260" s="821"/>
      <c r="RIT260" s="821"/>
      <c r="RIU260" s="821"/>
      <c r="RIV260" s="821"/>
      <c r="RIW260" s="821"/>
      <c r="RIX260" s="821"/>
      <c r="RIY260" s="821"/>
      <c r="RIZ260" s="821"/>
      <c r="RJA260" s="821"/>
      <c r="RJB260" s="821"/>
      <c r="RJC260" s="821"/>
      <c r="RJD260" s="821"/>
      <c r="RJE260" s="821"/>
      <c r="RJF260" s="821"/>
      <c r="RJG260" s="821"/>
      <c r="RJH260" s="821"/>
      <c r="RJI260" s="821"/>
      <c r="RJJ260" s="821"/>
      <c r="RJK260" s="575"/>
      <c r="RJL260" s="821"/>
      <c r="RJM260" s="821"/>
      <c r="RJN260" s="821"/>
      <c r="RJO260" s="821"/>
      <c r="RJP260" s="821"/>
      <c r="RJQ260" s="821"/>
      <c r="RJR260" s="821"/>
      <c r="RJS260" s="821"/>
      <c r="RJT260" s="821"/>
      <c r="RJU260" s="821"/>
      <c r="RJV260" s="821"/>
      <c r="RJW260" s="821"/>
      <c r="RJX260" s="821"/>
      <c r="RJY260" s="821"/>
      <c r="RJZ260" s="821"/>
      <c r="RKA260" s="821"/>
      <c r="RKB260" s="821"/>
      <c r="RKC260" s="821"/>
      <c r="RKD260" s="821"/>
      <c r="RKE260" s="575"/>
      <c r="RKF260" s="821"/>
      <c r="RKG260" s="821"/>
      <c r="RKH260" s="821"/>
      <c r="RKI260" s="821"/>
      <c r="RKJ260" s="821"/>
      <c r="RKK260" s="821"/>
      <c r="RKL260" s="821"/>
      <c r="RKM260" s="821"/>
      <c r="RKN260" s="821"/>
      <c r="RKO260" s="821"/>
      <c r="RKP260" s="821"/>
      <c r="RKQ260" s="821"/>
      <c r="RKR260" s="821"/>
      <c r="RKS260" s="821"/>
      <c r="RKT260" s="821"/>
      <c r="RKU260" s="821"/>
      <c r="RKV260" s="821"/>
      <c r="RKW260" s="821"/>
      <c r="RKX260" s="821"/>
      <c r="RKY260" s="575"/>
      <c r="RKZ260" s="821"/>
      <c r="RLA260" s="821"/>
      <c r="RLB260" s="821"/>
      <c r="RLC260" s="821"/>
      <c r="RLD260" s="821"/>
      <c r="RLE260" s="821"/>
      <c r="RLF260" s="821"/>
      <c r="RLG260" s="821"/>
      <c r="RLH260" s="821"/>
      <c r="RLI260" s="821"/>
      <c r="RLJ260" s="821"/>
      <c r="RLK260" s="821"/>
      <c r="RLL260" s="821"/>
      <c r="RLM260" s="821"/>
      <c r="RLN260" s="821"/>
      <c r="RLO260" s="821"/>
      <c r="RLP260" s="821"/>
      <c r="RLQ260" s="821"/>
      <c r="RLR260" s="821"/>
      <c r="RLS260" s="575"/>
      <c r="RLT260" s="821"/>
      <c r="RLU260" s="821"/>
      <c r="RLV260" s="821"/>
      <c r="RLW260" s="821"/>
      <c r="RLX260" s="821"/>
      <c r="RLY260" s="821"/>
      <c r="RLZ260" s="821"/>
      <c r="RMA260" s="821"/>
      <c r="RMB260" s="821"/>
      <c r="RMC260" s="821"/>
      <c r="RMD260" s="821"/>
      <c r="RME260" s="821"/>
      <c r="RMF260" s="821"/>
      <c r="RMG260" s="821"/>
      <c r="RMH260" s="821"/>
      <c r="RMI260" s="821"/>
      <c r="RMJ260" s="821"/>
      <c r="RMK260" s="821"/>
      <c r="RML260" s="821"/>
      <c r="RMM260" s="575"/>
      <c r="RMN260" s="821"/>
      <c r="RMO260" s="821"/>
      <c r="RMP260" s="821"/>
      <c r="RMQ260" s="821"/>
      <c r="RMR260" s="821"/>
      <c r="RMS260" s="821"/>
      <c r="RMT260" s="821"/>
      <c r="RMU260" s="821"/>
      <c r="RMV260" s="821"/>
      <c r="RMW260" s="821"/>
      <c r="RMX260" s="821"/>
      <c r="RMY260" s="821"/>
      <c r="RMZ260" s="821"/>
      <c r="RNA260" s="821"/>
      <c r="RNB260" s="821"/>
      <c r="RNC260" s="821"/>
      <c r="RND260" s="821"/>
      <c r="RNE260" s="821"/>
      <c r="RNF260" s="821"/>
      <c r="RNG260" s="575"/>
      <c r="RNH260" s="821"/>
      <c r="RNI260" s="821"/>
      <c r="RNJ260" s="821"/>
      <c r="RNK260" s="821"/>
      <c r="RNL260" s="821"/>
      <c r="RNM260" s="821"/>
      <c r="RNN260" s="821"/>
      <c r="RNO260" s="821"/>
      <c r="RNP260" s="821"/>
      <c r="RNQ260" s="821"/>
      <c r="RNR260" s="821"/>
      <c r="RNS260" s="821"/>
      <c r="RNT260" s="821"/>
      <c r="RNU260" s="821"/>
      <c r="RNV260" s="821"/>
      <c r="RNW260" s="821"/>
      <c r="RNX260" s="821"/>
      <c r="RNY260" s="821"/>
      <c r="RNZ260" s="821"/>
      <c r="ROA260" s="575"/>
      <c r="ROB260" s="821"/>
      <c r="ROC260" s="821"/>
      <c r="ROD260" s="821"/>
      <c r="ROE260" s="821"/>
      <c r="ROF260" s="821"/>
      <c r="ROG260" s="821"/>
      <c r="ROH260" s="821"/>
      <c r="ROI260" s="821"/>
      <c r="ROJ260" s="821"/>
      <c r="ROK260" s="821"/>
      <c r="ROL260" s="821"/>
      <c r="ROM260" s="821"/>
      <c r="RON260" s="821"/>
      <c r="ROO260" s="821"/>
      <c r="ROP260" s="821"/>
      <c r="ROQ260" s="821"/>
      <c r="ROR260" s="821"/>
      <c r="ROS260" s="821"/>
      <c r="ROT260" s="821"/>
      <c r="ROU260" s="575"/>
      <c r="ROV260" s="821"/>
      <c r="ROW260" s="821"/>
      <c r="ROX260" s="821"/>
      <c r="ROY260" s="821"/>
      <c r="ROZ260" s="821"/>
      <c r="RPA260" s="821"/>
      <c r="RPB260" s="821"/>
      <c r="RPC260" s="821"/>
      <c r="RPD260" s="821"/>
      <c r="RPE260" s="821"/>
      <c r="RPF260" s="821"/>
      <c r="RPG260" s="821"/>
      <c r="RPH260" s="821"/>
      <c r="RPI260" s="821"/>
      <c r="RPJ260" s="821"/>
      <c r="RPK260" s="821"/>
      <c r="RPL260" s="821"/>
      <c r="RPM260" s="821"/>
      <c r="RPN260" s="821"/>
      <c r="RPO260" s="575"/>
      <c r="RPP260" s="821"/>
      <c r="RPQ260" s="821"/>
      <c r="RPR260" s="821"/>
      <c r="RPS260" s="821"/>
      <c r="RPT260" s="821"/>
      <c r="RPU260" s="821"/>
      <c r="RPV260" s="821"/>
      <c r="RPW260" s="821"/>
      <c r="RPX260" s="821"/>
      <c r="RPY260" s="821"/>
      <c r="RPZ260" s="821"/>
      <c r="RQA260" s="821"/>
      <c r="RQB260" s="821"/>
      <c r="RQC260" s="821"/>
      <c r="RQD260" s="821"/>
      <c r="RQE260" s="821"/>
      <c r="RQF260" s="821"/>
      <c r="RQG260" s="821"/>
      <c r="RQH260" s="821"/>
      <c r="RQI260" s="575"/>
      <c r="RQJ260" s="821"/>
      <c r="RQK260" s="821"/>
      <c r="RQL260" s="821"/>
      <c r="RQM260" s="821"/>
      <c r="RQN260" s="821"/>
      <c r="RQO260" s="821"/>
      <c r="RQP260" s="821"/>
      <c r="RQQ260" s="821"/>
      <c r="RQR260" s="821"/>
      <c r="RQS260" s="821"/>
      <c r="RQT260" s="821"/>
      <c r="RQU260" s="821"/>
      <c r="RQV260" s="821"/>
      <c r="RQW260" s="821"/>
      <c r="RQX260" s="821"/>
      <c r="RQY260" s="821"/>
      <c r="RQZ260" s="821"/>
      <c r="RRA260" s="821"/>
      <c r="RRB260" s="821"/>
      <c r="RRC260" s="575"/>
      <c r="RRD260" s="821"/>
      <c r="RRE260" s="821"/>
      <c r="RRF260" s="821"/>
      <c r="RRG260" s="821"/>
      <c r="RRH260" s="821"/>
      <c r="RRI260" s="821"/>
      <c r="RRJ260" s="821"/>
      <c r="RRK260" s="821"/>
      <c r="RRL260" s="821"/>
      <c r="RRM260" s="821"/>
      <c r="RRN260" s="821"/>
      <c r="RRO260" s="821"/>
      <c r="RRP260" s="821"/>
      <c r="RRQ260" s="821"/>
      <c r="RRR260" s="821"/>
      <c r="RRS260" s="821"/>
      <c r="RRT260" s="821"/>
      <c r="RRU260" s="821"/>
      <c r="RRV260" s="821"/>
      <c r="RRW260" s="575"/>
      <c r="RRX260" s="821"/>
      <c r="RRY260" s="821"/>
      <c r="RRZ260" s="821"/>
      <c r="RSA260" s="821"/>
      <c r="RSB260" s="821"/>
      <c r="RSC260" s="821"/>
      <c r="RSD260" s="821"/>
      <c r="RSE260" s="821"/>
      <c r="RSF260" s="821"/>
      <c r="RSG260" s="821"/>
      <c r="RSH260" s="821"/>
      <c r="RSI260" s="821"/>
      <c r="RSJ260" s="821"/>
      <c r="RSK260" s="821"/>
      <c r="RSL260" s="821"/>
      <c r="RSM260" s="821"/>
      <c r="RSN260" s="821"/>
      <c r="RSO260" s="821"/>
      <c r="RSP260" s="821"/>
      <c r="RSQ260" s="575"/>
      <c r="RSR260" s="821"/>
      <c r="RSS260" s="821"/>
      <c r="RST260" s="821"/>
      <c r="RSU260" s="821"/>
      <c r="RSV260" s="821"/>
      <c r="RSW260" s="821"/>
      <c r="RSX260" s="821"/>
      <c r="RSY260" s="821"/>
      <c r="RSZ260" s="821"/>
      <c r="RTA260" s="821"/>
      <c r="RTB260" s="821"/>
      <c r="RTC260" s="821"/>
      <c r="RTD260" s="821"/>
      <c r="RTE260" s="821"/>
      <c r="RTF260" s="821"/>
      <c r="RTG260" s="821"/>
      <c r="RTH260" s="821"/>
      <c r="RTI260" s="821"/>
      <c r="RTJ260" s="821"/>
      <c r="RTK260" s="575"/>
      <c r="RTL260" s="821"/>
      <c r="RTM260" s="821"/>
      <c r="RTN260" s="821"/>
      <c r="RTO260" s="821"/>
      <c r="RTP260" s="821"/>
      <c r="RTQ260" s="821"/>
      <c r="RTR260" s="821"/>
      <c r="RTS260" s="821"/>
      <c r="RTT260" s="821"/>
      <c r="RTU260" s="821"/>
      <c r="RTV260" s="821"/>
      <c r="RTW260" s="821"/>
      <c r="RTX260" s="821"/>
      <c r="RTY260" s="821"/>
      <c r="RTZ260" s="821"/>
      <c r="RUA260" s="821"/>
      <c r="RUB260" s="821"/>
      <c r="RUC260" s="821"/>
      <c r="RUD260" s="821"/>
      <c r="RUE260" s="575"/>
      <c r="RUF260" s="821"/>
      <c r="RUG260" s="821"/>
      <c r="RUH260" s="821"/>
      <c r="RUI260" s="821"/>
      <c r="RUJ260" s="821"/>
      <c r="RUK260" s="821"/>
      <c r="RUL260" s="821"/>
      <c r="RUM260" s="821"/>
      <c r="RUN260" s="821"/>
      <c r="RUO260" s="821"/>
      <c r="RUP260" s="821"/>
      <c r="RUQ260" s="821"/>
      <c r="RUR260" s="821"/>
      <c r="RUS260" s="821"/>
      <c r="RUT260" s="821"/>
      <c r="RUU260" s="821"/>
      <c r="RUV260" s="821"/>
      <c r="RUW260" s="821"/>
      <c r="RUX260" s="821"/>
      <c r="RUY260" s="575"/>
      <c r="RUZ260" s="821"/>
      <c r="RVA260" s="821"/>
      <c r="RVB260" s="821"/>
      <c r="RVC260" s="821"/>
      <c r="RVD260" s="821"/>
      <c r="RVE260" s="821"/>
      <c r="RVF260" s="821"/>
      <c r="RVG260" s="821"/>
      <c r="RVH260" s="821"/>
      <c r="RVI260" s="821"/>
      <c r="RVJ260" s="821"/>
      <c r="RVK260" s="821"/>
      <c r="RVL260" s="821"/>
      <c r="RVM260" s="821"/>
      <c r="RVN260" s="821"/>
      <c r="RVO260" s="821"/>
      <c r="RVP260" s="821"/>
      <c r="RVQ260" s="821"/>
      <c r="RVR260" s="821"/>
      <c r="RVS260" s="575"/>
      <c r="RVT260" s="821"/>
      <c r="RVU260" s="821"/>
      <c r="RVV260" s="821"/>
      <c r="RVW260" s="821"/>
      <c r="RVX260" s="821"/>
      <c r="RVY260" s="821"/>
      <c r="RVZ260" s="821"/>
      <c r="RWA260" s="821"/>
      <c r="RWB260" s="821"/>
      <c r="RWC260" s="821"/>
      <c r="RWD260" s="821"/>
      <c r="RWE260" s="821"/>
      <c r="RWF260" s="821"/>
      <c r="RWG260" s="821"/>
      <c r="RWH260" s="821"/>
      <c r="RWI260" s="821"/>
      <c r="RWJ260" s="821"/>
      <c r="RWK260" s="821"/>
      <c r="RWL260" s="821"/>
      <c r="RWM260" s="575"/>
      <c r="RWN260" s="821"/>
      <c r="RWO260" s="821"/>
      <c r="RWP260" s="821"/>
      <c r="RWQ260" s="821"/>
      <c r="RWR260" s="821"/>
      <c r="RWS260" s="821"/>
      <c r="RWT260" s="821"/>
      <c r="RWU260" s="821"/>
      <c r="RWV260" s="821"/>
      <c r="RWW260" s="821"/>
      <c r="RWX260" s="821"/>
      <c r="RWY260" s="821"/>
      <c r="RWZ260" s="821"/>
      <c r="RXA260" s="821"/>
      <c r="RXB260" s="821"/>
      <c r="RXC260" s="821"/>
      <c r="RXD260" s="821"/>
      <c r="RXE260" s="821"/>
      <c r="RXF260" s="821"/>
      <c r="RXG260" s="575"/>
      <c r="RXH260" s="821"/>
      <c r="RXI260" s="821"/>
      <c r="RXJ260" s="821"/>
      <c r="RXK260" s="821"/>
      <c r="RXL260" s="821"/>
      <c r="RXM260" s="821"/>
      <c r="RXN260" s="821"/>
      <c r="RXO260" s="821"/>
      <c r="RXP260" s="821"/>
      <c r="RXQ260" s="821"/>
      <c r="RXR260" s="821"/>
      <c r="RXS260" s="821"/>
      <c r="RXT260" s="821"/>
      <c r="RXU260" s="821"/>
      <c r="RXV260" s="821"/>
      <c r="RXW260" s="821"/>
      <c r="RXX260" s="821"/>
      <c r="RXY260" s="821"/>
      <c r="RXZ260" s="821"/>
      <c r="RYA260" s="575"/>
      <c r="RYB260" s="821"/>
      <c r="RYC260" s="821"/>
      <c r="RYD260" s="821"/>
      <c r="RYE260" s="821"/>
      <c r="RYF260" s="821"/>
      <c r="RYG260" s="821"/>
      <c r="RYH260" s="821"/>
      <c r="RYI260" s="821"/>
      <c r="RYJ260" s="821"/>
      <c r="RYK260" s="821"/>
      <c r="RYL260" s="821"/>
      <c r="RYM260" s="821"/>
      <c r="RYN260" s="821"/>
      <c r="RYO260" s="821"/>
      <c r="RYP260" s="821"/>
      <c r="RYQ260" s="821"/>
      <c r="RYR260" s="821"/>
      <c r="RYS260" s="821"/>
      <c r="RYT260" s="821"/>
      <c r="RYU260" s="575"/>
      <c r="RYV260" s="821"/>
      <c r="RYW260" s="821"/>
      <c r="RYX260" s="821"/>
      <c r="RYY260" s="821"/>
      <c r="RYZ260" s="821"/>
      <c r="RZA260" s="821"/>
      <c r="RZB260" s="821"/>
      <c r="RZC260" s="821"/>
      <c r="RZD260" s="821"/>
      <c r="RZE260" s="821"/>
      <c r="RZF260" s="821"/>
      <c r="RZG260" s="821"/>
      <c r="RZH260" s="821"/>
      <c r="RZI260" s="821"/>
      <c r="RZJ260" s="821"/>
      <c r="RZK260" s="821"/>
      <c r="RZL260" s="821"/>
      <c r="RZM260" s="821"/>
      <c r="RZN260" s="821"/>
      <c r="RZO260" s="575"/>
      <c r="RZP260" s="821"/>
      <c r="RZQ260" s="821"/>
      <c r="RZR260" s="821"/>
      <c r="RZS260" s="821"/>
      <c r="RZT260" s="821"/>
      <c r="RZU260" s="821"/>
      <c r="RZV260" s="821"/>
      <c r="RZW260" s="821"/>
      <c r="RZX260" s="821"/>
      <c r="RZY260" s="821"/>
      <c r="RZZ260" s="821"/>
      <c r="SAA260" s="821"/>
      <c r="SAB260" s="821"/>
      <c r="SAC260" s="821"/>
      <c r="SAD260" s="821"/>
      <c r="SAE260" s="821"/>
      <c r="SAF260" s="821"/>
      <c r="SAG260" s="821"/>
      <c r="SAH260" s="821"/>
      <c r="SAI260" s="575"/>
      <c r="SAJ260" s="821"/>
      <c r="SAK260" s="821"/>
      <c r="SAL260" s="821"/>
      <c r="SAM260" s="821"/>
      <c r="SAN260" s="821"/>
      <c r="SAO260" s="821"/>
      <c r="SAP260" s="821"/>
      <c r="SAQ260" s="821"/>
      <c r="SAR260" s="821"/>
      <c r="SAS260" s="821"/>
      <c r="SAT260" s="821"/>
      <c r="SAU260" s="821"/>
      <c r="SAV260" s="821"/>
      <c r="SAW260" s="821"/>
      <c r="SAX260" s="821"/>
      <c r="SAY260" s="821"/>
      <c r="SAZ260" s="821"/>
      <c r="SBA260" s="821"/>
      <c r="SBB260" s="821"/>
      <c r="SBC260" s="575"/>
      <c r="SBD260" s="821"/>
      <c r="SBE260" s="821"/>
      <c r="SBF260" s="821"/>
      <c r="SBG260" s="821"/>
      <c r="SBH260" s="821"/>
      <c r="SBI260" s="821"/>
      <c r="SBJ260" s="821"/>
      <c r="SBK260" s="821"/>
      <c r="SBL260" s="821"/>
      <c r="SBM260" s="821"/>
      <c r="SBN260" s="821"/>
      <c r="SBO260" s="821"/>
      <c r="SBP260" s="821"/>
      <c r="SBQ260" s="821"/>
      <c r="SBR260" s="821"/>
      <c r="SBS260" s="821"/>
      <c r="SBT260" s="821"/>
      <c r="SBU260" s="821"/>
      <c r="SBV260" s="821"/>
      <c r="SBW260" s="575"/>
      <c r="SBX260" s="821"/>
      <c r="SBY260" s="821"/>
      <c r="SBZ260" s="821"/>
      <c r="SCA260" s="821"/>
      <c r="SCB260" s="821"/>
      <c r="SCC260" s="821"/>
      <c r="SCD260" s="821"/>
      <c r="SCE260" s="821"/>
      <c r="SCF260" s="821"/>
      <c r="SCG260" s="821"/>
      <c r="SCH260" s="821"/>
      <c r="SCI260" s="821"/>
      <c r="SCJ260" s="821"/>
      <c r="SCK260" s="821"/>
      <c r="SCL260" s="821"/>
      <c r="SCM260" s="821"/>
      <c r="SCN260" s="821"/>
      <c r="SCO260" s="821"/>
      <c r="SCP260" s="821"/>
      <c r="SCQ260" s="575"/>
      <c r="SCR260" s="821"/>
      <c r="SCS260" s="821"/>
      <c r="SCT260" s="821"/>
      <c r="SCU260" s="821"/>
      <c r="SCV260" s="821"/>
      <c r="SCW260" s="821"/>
      <c r="SCX260" s="821"/>
      <c r="SCY260" s="821"/>
      <c r="SCZ260" s="821"/>
      <c r="SDA260" s="821"/>
      <c r="SDB260" s="821"/>
      <c r="SDC260" s="821"/>
      <c r="SDD260" s="821"/>
      <c r="SDE260" s="821"/>
      <c r="SDF260" s="821"/>
      <c r="SDG260" s="821"/>
      <c r="SDH260" s="821"/>
      <c r="SDI260" s="821"/>
      <c r="SDJ260" s="821"/>
      <c r="SDK260" s="575"/>
      <c r="SDL260" s="821"/>
      <c r="SDM260" s="821"/>
      <c r="SDN260" s="821"/>
      <c r="SDO260" s="821"/>
      <c r="SDP260" s="821"/>
      <c r="SDQ260" s="821"/>
      <c r="SDR260" s="821"/>
      <c r="SDS260" s="821"/>
      <c r="SDT260" s="821"/>
      <c r="SDU260" s="821"/>
      <c r="SDV260" s="821"/>
      <c r="SDW260" s="821"/>
      <c r="SDX260" s="821"/>
      <c r="SDY260" s="821"/>
      <c r="SDZ260" s="821"/>
      <c r="SEA260" s="821"/>
      <c r="SEB260" s="821"/>
      <c r="SEC260" s="821"/>
      <c r="SED260" s="821"/>
      <c r="SEE260" s="575"/>
      <c r="SEF260" s="821"/>
      <c r="SEG260" s="821"/>
      <c r="SEH260" s="821"/>
      <c r="SEI260" s="821"/>
      <c r="SEJ260" s="821"/>
      <c r="SEK260" s="821"/>
      <c r="SEL260" s="821"/>
      <c r="SEM260" s="821"/>
      <c r="SEN260" s="821"/>
      <c r="SEO260" s="821"/>
      <c r="SEP260" s="821"/>
      <c r="SEQ260" s="821"/>
      <c r="SER260" s="821"/>
      <c r="SES260" s="821"/>
      <c r="SET260" s="821"/>
      <c r="SEU260" s="821"/>
      <c r="SEV260" s="821"/>
      <c r="SEW260" s="821"/>
      <c r="SEX260" s="821"/>
      <c r="SEY260" s="575"/>
      <c r="SEZ260" s="821"/>
      <c r="SFA260" s="821"/>
      <c r="SFB260" s="821"/>
      <c r="SFC260" s="821"/>
      <c r="SFD260" s="821"/>
      <c r="SFE260" s="821"/>
      <c r="SFF260" s="821"/>
      <c r="SFG260" s="821"/>
      <c r="SFH260" s="821"/>
      <c r="SFI260" s="821"/>
      <c r="SFJ260" s="821"/>
      <c r="SFK260" s="821"/>
      <c r="SFL260" s="821"/>
      <c r="SFM260" s="821"/>
      <c r="SFN260" s="821"/>
      <c r="SFO260" s="821"/>
      <c r="SFP260" s="821"/>
      <c r="SFQ260" s="821"/>
      <c r="SFR260" s="821"/>
      <c r="SFS260" s="575"/>
      <c r="SFT260" s="821"/>
      <c r="SFU260" s="821"/>
      <c r="SFV260" s="821"/>
      <c r="SFW260" s="821"/>
      <c r="SFX260" s="821"/>
      <c r="SFY260" s="821"/>
      <c r="SFZ260" s="821"/>
      <c r="SGA260" s="821"/>
      <c r="SGB260" s="821"/>
      <c r="SGC260" s="821"/>
      <c r="SGD260" s="821"/>
      <c r="SGE260" s="821"/>
      <c r="SGF260" s="821"/>
      <c r="SGG260" s="821"/>
      <c r="SGH260" s="821"/>
      <c r="SGI260" s="821"/>
      <c r="SGJ260" s="821"/>
      <c r="SGK260" s="821"/>
      <c r="SGL260" s="821"/>
      <c r="SGM260" s="575"/>
      <c r="SGN260" s="821"/>
      <c r="SGO260" s="821"/>
      <c r="SGP260" s="821"/>
      <c r="SGQ260" s="821"/>
      <c r="SGR260" s="821"/>
      <c r="SGS260" s="821"/>
      <c r="SGT260" s="821"/>
      <c r="SGU260" s="821"/>
      <c r="SGV260" s="821"/>
      <c r="SGW260" s="821"/>
      <c r="SGX260" s="821"/>
      <c r="SGY260" s="821"/>
      <c r="SGZ260" s="821"/>
      <c r="SHA260" s="821"/>
      <c r="SHB260" s="821"/>
      <c r="SHC260" s="821"/>
      <c r="SHD260" s="821"/>
      <c r="SHE260" s="821"/>
      <c r="SHF260" s="821"/>
      <c r="SHG260" s="575"/>
      <c r="SHH260" s="821"/>
      <c r="SHI260" s="821"/>
      <c r="SHJ260" s="821"/>
      <c r="SHK260" s="821"/>
      <c r="SHL260" s="821"/>
      <c r="SHM260" s="821"/>
      <c r="SHN260" s="821"/>
      <c r="SHO260" s="821"/>
      <c r="SHP260" s="821"/>
      <c r="SHQ260" s="821"/>
      <c r="SHR260" s="821"/>
      <c r="SHS260" s="821"/>
      <c r="SHT260" s="821"/>
      <c r="SHU260" s="821"/>
      <c r="SHV260" s="821"/>
      <c r="SHW260" s="821"/>
      <c r="SHX260" s="821"/>
      <c r="SHY260" s="821"/>
      <c r="SHZ260" s="821"/>
      <c r="SIA260" s="575"/>
      <c r="SIB260" s="821"/>
      <c r="SIC260" s="821"/>
      <c r="SID260" s="821"/>
      <c r="SIE260" s="821"/>
      <c r="SIF260" s="821"/>
      <c r="SIG260" s="821"/>
      <c r="SIH260" s="821"/>
      <c r="SII260" s="821"/>
      <c r="SIJ260" s="821"/>
      <c r="SIK260" s="821"/>
      <c r="SIL260" s="821"/>
      <c r="SIM260" s="821"/>
      <c r="SIN260" s="821"/>
      <c r="SIO260" s="821"/>
      <c r="SIP260" s="821"/>
      <c r="SIQ260" s="821"/>
      <c r="SIR260" s="821"/>
      <c r="SIS260" s="821"/>
      <c r="SIT260" s="821"/>
      <c r="SIU260" s="575"/>
      <c r="SIV260" s="821"/>
      <c r="SIW260" s="821"/>
      <c r="SIX260" s="821"/>
      <c r="SIY260" s="821"/>
      <c r="SIZ260" s="821"/>
      <c r="SJA260" s="821"/>
      <c r="SJB260" s="821"/>
      <c r="SJC260" s="821"/>
      <c r="SJD260" s="821"/>
      <c r="SJE260" s="821"/>
      <c r="SJF260" s="821"/>
      <c r="SJG260" s="821"/>
      <c r="SJH260" s="821"/>
      <c r="SJI260" s="821"/>
      <c r="SJJ260" s="821"/>
      <c r="SJK260" s="821"/>
      <c r="SJL260" s="821"/>
      <c r="SJM260" s="821"/>
      <c r="SJN260" s="821"/>
      <c r="SJO260" s="575"/>
      <c r="SJP260" s="821"/>
      <c r="SJQ260" s="821"/>
      <c r="SJR260" s="821"/>
      <c r="SJS260" s="821"/>
      <c r="SJT260" s="821"/>
      <c r="SJU260" s="821"/>
      <c r="SJV260" s="821"/>
      <c r="SJW260" s="821"/>
      <c r="SJX260" s="821"/>
      <c r="SJY260" s="821"/>
      <c r="SJZ260" s="821"/>
      <c r="SKA260" s="821"/>
      <c r="SKB260" s="821"/>
      <c r="SKC260" s="821"/>
      <c r="SKD260" s="821"/>
      <c r="SKE260" s="821"/>
      <c r="SKF260" s="821"/>
      <c r="SKG260" s="821"/>
      <c r="SKH260" s="821"/>
      <c r="SKI260" s="575"/>
      <c r="SKJ260" s="821"/>
      <c r="SKK260" s="821"/>
      <c r="SKL260" s="821"/>
      <c r="SKM260" s="821"/>
      <c r="SKN260" s="821"/>
      <c r="SKO260" s="821"/>
      <c r="SKP260" s="821"/>
      <c r="SKQ260" s="821"/>
      <c r="SKR260" s="821"/>
      <c r="SKS260" s="821"/>
      <c r="SKT260" s="821"/>
      <c r="SKU260" s="821"/>
      <c r="SKV260" s="821"/>
      <c r="SKW260" s="821"/>
      <c r="SKX260" s="821"/>
      <c r="SKY260" s="821"/>
      <c r="SKZ260" s="821"/>
      <c r="SLA260" s="821"/>
      <c r="SLB260" s="821"/>
      <c r="SLC260" s="575"/>
      <c r="SLD260" s="821"/>
      <c r="SLE260" s="821"/>
      <c r="SLF260" s="821"/>
      <c r="SLG260" s="821"/>
      <c r="SLH260" s="821"/>
      <c r="SLI260" s="821"/>
      <c r="SLJ260" s="821"/>
      <c r="SLK260" s="821"/>
      <c r="SLL260" s="821"/>
      <c r="SLM260" s="821"/>
      <c r="SLN260" s="821"/>
      <c r="SLO260" s="821"/>
      <c r="SLP260" s="821"/>
      <c r="SLQ260" s="821"/>
      <c r="SLR260" s="821"/>
      <c r="SLS260" s="821"/>
      <c r="SLT260" s="821"/>
      <c r="SLU260" s="821"/>
      <c r="SLV260" s="821"/>
      <c r="SLW260" s="575"/>
      <c r="SLX260" s="821"/>
      <c r="SLY260" s="821"/>
      <c r="SLZ260" s="821"/>
      <c r="SMA260" s="821"/>
      <c r="SMB260" s="821"/>
      <c r="SMC260" s="821"/>
      <c r="SMD260" s="821"/>
      <c r="SME260" s="821"/>
      <c r="SMF260" s="821"/>
      <c r="SMG260" s="821"/>
      <c r="SMH260" s="821"/>
      <c r="SMI260" s="821"/>
      <c r="SMJ260" s="821"/>
      <c r="SMK260" s="821"/>
      <c r="SML260" s="821"/>
      <c r="SMM260" s="821"/>
      <c r="SMN260" s="821"/>
      <c r="SMO260" s="821"/>
      <c r="SMP260" s="821"/>
      <c r="SMQ260" s="575"/>
      <c r="SMR260" s="821"/>
      <c r="SMS260" s="821"/>
      <c r="SMT260" s="821"/>
      <c r="SMU260" s="821"/>
      <c r="SMV260" s="821"/>
      <c r="SMW260" s="821"/>
      <c r="SMX260" s="821"/>
      <c r="SMY260" s="821"/>
      <c r="SMZ260" s="821"/>
      <c r="SNA260" s="821"/>
      <c r="SNB260" s="821"/>
      <c r="SNC260" s="821"/>
      <c r="SND260" s="821"/>
      <c r="SNE260" s="821"/>
      <c r="SNF260" s="821"/>
      <c r="SNG260" s="821"/>
      <c r="SNH260" s="821"/>
      <c r="SNI260" s="821"/>
      <c r="SNJ260" s="821"/>
      <c r="SNK260" s="575"/>
      <c r="SNL260" s="821"/>
      <c r="SNM260" s="821"/>
      <c r="SNN260" s="821"/>
      <c r="SNO260" s="821"/>
      <c r="SNP260" s="821"/>
      <c r="SNQ260" s="821"/>
      <c r="SNR260" s="821"/>
      <c r="SNS260" s="821"/>
      <c r="SNT260" s="821"/>
      <c r="SNU260" s="821"/>
      <c r="SNV260" s="821"/>
      <c r="SNW260" s="821"/>
      <c r="SNX260" s="821"/>
      <c r="SNY260" s="821"/>
      <c r="SNZ260" s="821"/>
      <c r="SOA260" s="821"/>
      <c r="SOB260" s="821"/>
      <c r="SOC260" s="821"/>
      <c r="SOD260" s="821"/>
      <c r="SOE260" s="575"/>
      <c r="SOF260" s="821"/>
      <c r="SOG260" s="821"/>
      <c r="SOH260" s="821"/>
      <c r="SOI260" s="821"/>
      <c r="SOJ260" s="821"/>
      <c r="SOK260" s="821"/>
      <c r="SOL260" s="821"/>
      <c r="SOM260" s="821"/>
      <c r="SON260" s="821"/>
      <c r="SOO260" s="821"/>
      <c r="SOP260" s="821"/>
      <c r="SOQ260" s="821"/>
      <c r="SOR260" s="821"/>
      <c r="SOS260" s="821"/>
      <c r="SOT260" s="821"/>
      <c r="SOU260" s="821"/>
      <c r="SOV260" s="821"/>
      <c r="SOW260" s="821"/>
      <c r="SOX260" s="821"/>
      <c r="SOY260" s="575"/>
      <c r="SOZ260" s="821"/>
      <c r="SPA260" s="821"/>
      <c r="SPB260" s="821"/>
      <c r="SPC260" s="821"/>
      <c r="SPD260" s="821"/>
      <c r="SPE260" s="821"/>
      <c r="SPF260" s="821"/>
      <c r="SPG260" s="821"/>
      <c r="SPH260" s="821"/>
      <c r="SPI260" s="821"/>
      <c r="SPJ260" s="821"/>
      <c r="SPK260" s="821"/>
      <c r="SPL260" s="821"/>
      <c r="SPM260" s="821"/>
      <c r="SPN260" s="821"/>
      <c r="SPO260" s="821"/>
      <c r="SPP260" s="821"/>
      <c r="SPQ260" s="821"/>
      <c r="SPR260" s="821"/>
      <c r="SPS260" s="575"/>
      <c r="SPT260" s="821"/>
      <c r="SPU260" s="821"/>
      <c r="SPV260" s="821"/>
      <c r="SPW260" s="821"/>
      <c r="SPX260" s="821"/>
      <c r="SPY260" s="821"/>
      <c r="SPZ260" s="821"/>
      <c r="SQA260" s="821"/>
      <c r="SQB260" s="821"/>
      <c r="SQC260" s="821"/>
      <c r="SQD260" s="821"/>
      <c r="SQE260" s="821"/>
      <c r="SQF260" s="821"/>
      <c r="SQG260" s="821"/>
      <c r="SQH260" s="821"/>
      <c r="SQI260" s="821"/>
      <c r="SQJ260" s="821"/>
      <c r="SQK260" s="821"/>
      <c r="SQL260" s="821"/>
      <c r="SQM260" s="575"/>
      <c r="SQN260" s="821"/>
      <c r="SQO260" s="821"/>
      <c r="SQP260" s="821"/>
      <c r="SQQ260" s="821"/>
      <c r="SQR260" s="821"/>
      <c r="SQS260" s="821"/>
      <c r="SQT260" s="821"/>
      <c r="SQU260" s="821"/>
      <c r="SQV260" s="821"/>
      <c r="SQW260" s="821"/>
      <c r="SQX260" s="821"/>
      <c r="SQY260" s="821"/>
      <c r="SQZ260" s="821"/>
      <c r="SRA260" s="821"/>
      <c r="SRB260" s="821"/>
      <c r="SRC260" s="821"/>
      <c r="SRD260" s="821"/>
      <c r="SRE260" s="821"/>
      <c r="SRF260" s="821"/>
      <c r="SRG260" s="575"/>
      <c r="SRH260" s="821"/>
      <c r="SRI260" s="821"/>
      <c r="SRJ260" s="821"/>
      <c r="SRK260" s="821"/>
      <c r="SRL260" s="821"/>
      <c r="SRM260" s="821"/>
      <c r="SRN260" s="821"/>
      <c r="SRO260" s="821"/>
      <c r="SRP260" s="821"/>
      <c r="SRQ260" s="821"/>
      <c r="SRR260" s="821"/>
      <c r="SRS260" s="821"/>
      <c r="SRT260" s="821"/>
      <c r="SRU260" s="821"/>
      <c r="SRV260" s="821"/>
      <c r="SRW260" s="821"/>
      <c r="SRX260" s="821"/>
      <c r="SRY260" s="821"/>
      <c r="SRZ260" s="821"/>
      <c r="SSA260" s="575"/>
      <c r="SSB260" s="821"/>
      <c r="SSC260" s="821"/>
      <c r="SSD260" s="821"/>
      <c r="SSE260" s="821"/>
      <c r="SSF260" s="821"/>
      <c r="SSG260" s="821"/>
      <c r="SSH260" s="821"/>
      <c r="SSI260" s="821"/>
      <c r="SSJ260" s="821"/>
      <c r="SSK260" s="821"/>
      <c r="SSL260" s="821"/>
      <c r="SSM260" s="821"/>
      <c r="SSN260" s="821"/>
      <c r="SSO260" s="821"/>
      <c r="SSP260" s="821"/>
      <c r="SSQ260" s="821"/>
      <c r="SSR260" s="821"/>
      <c r="SSS260" s="821"/>
      <c r="SST260" s="821"/>
      <c r="SSU260" s="575"/>
      <c r="SSV260" s="821"/>
      <c r="SSW260" s="821"/>
      <c r="SSX260" s="821"/>
      <c r="SSY260" s="821"/>
      <c r="SSZ260" s="821"/>
      <c r="STA260" s="821"/>
      <c r="STB260" s="821"/>
      <c r="STC260" s="821"/>
      <c r="STD260" s="821"/>
      <c r="STE260" s="821"/>
      <c r="STF260" s="821"/>
      <c r="STG260" s="821"/>
      <c r="STH260" s="821"/>
      <c r="STI260" s="821"/>
      <c r="STJ260" s="821"/>
      <c r="STK260" s="821"/>
      <c r="STL260" s="821"/>
      <c r="STM260" s="821"/>
      <c r="STN260" s="821"/>
      <c r="STO260" s="575"/>
      <c r="STP260" s="821"/>
      <c r="STQ260" s="821"/>
      <c r="STR260" s="821"/>
      <c r="STS260" s="821"/>
      <c r="STT260" s="821"/>
      <c r="STU260" s="821"/>
      <c r="STV260" s="821"/>
      <c r="STW260" s="821"/>
      <c r="STX260" s="821"/>
      <c r="STY260" s="821"/>
      <c r="STZ260" s="821"/>
      <c r="SUA260" s="821"/>
      <c r="SUB260" s="821"/>
      <c r="SUC260" s="821"/>
      <c r="SUD260" s="821"/>
      <c r="SUE260" s="821"/>
      <c r="SUF260" s="821"/>
      <c r="SUG260" s="821"/>
      <c r="SUH260" s="821"/>
      <c r="SUI260" s="575"/>
      <c r="SUJ260" s="821"/>
      <c r="SUK260" s="821"/>
      <c r="SUL260" s="821"/>
      <c r="SUM260" s="821"/>
      <c r="SUN260" s="821"/>
      <c r="SUO260" s="821"/>
      <c r="SUP260" s="821"/>
      <c r="SUQ260" s="821"/>
      <c r="SUR260" s="821"/>
      <c r="SUS260" s="821"/>
      <c r="SUT260" s="821"/>
      <c r="SUU260" s="821"/>
      <c r="SUV260" s="821"/>
      <c r="SUW260" s="821"/>
      <c r="SUX260" s="821"/>
      <c r="SUY260" s="821"/>
      <c r="SUZ260" s="821"/>
      <c r="SVA260" s="821"/>
      <c r="SVB260" s="821"/>
      <c r="SVC260" s="575"/>
      <c r="SVD260" s="821"/>
      <c r="SVE260" s="821"/>
      <c r="SVF260" s="821"/>
      <c r="SVG260" s="821"/>
      <c r="SVH260" s="821"/>
      <c r="SVI260" s="821"/>
      <c r="SVJ260" s="821"/>
      <c r="SVK260" s="821"/>
      <c r="SVL260" s="821"/>
      <c r="SVM260" s="821"/>
      <c r="SVN260" s="821"/>
      <c r="SVO260" s="821"/>
      <c r="SVP260" s="821"/>
      <c r="SVQ260" s="821"/>
      <c r="SVR260" s="821"/>
      <c r="SVS260" s="821"/>
      <c r="SVT260" s="821"/>
      <c r="SVU260" s="821"/>
      <c r="SVV260" s="821"/>
      <c r="SVW260" s="575"/>
      <c r="SVX260" s="821"/>
      <c r="SVY260" s="821"/>
      <c r="SVZ260" s="821"/>
      <c r="SWA260" s="821"/>
      <c r="SWB260" s="821"/>
      <c r="SWC260" s="821"/>
      <c r="SWD260" s="821"/>
      <c r="SWE260" s="821"/>
      <c r="SWF260" s="821"/>
      <c r="SWG260" s="821"/>
      <c r="SWH260" s="821"/>
      <c r="SWI260" s="821"/>
      <c r="SWJ260" s="821"/>
      <c r="SWK260" s="821"/>
      <c r="SWL260" s="821"/>
      <c r="SWM260" s="821"/>
      <c r="SWN260" s="821"/>
      <c r="SWO260" s="821"/>
      <c r="SWP260" s="821"/>
      <c r="SWQ260" s="575"/>
      <c r="SWR260" s="821"/>
      <c r="SWS260" s="821"/>
      <c r="SWT260" s="821"/>
      <c r="SWU260" s="821"/>
      <c r="SWV260" s="821"/>
      <c r="SWW260" s="821"/>
      <c r="SWX260" s="821"/>
      <c r="SWY260" s="821"/>
      <c r="SWZ260" s="821"/>
      <c r="SXA260" s="821"/>
      <c r="SXB260" s="821"/>
      <c r="SXC260" s="821"/>
      <c r="SXD260" s="821"/>
      <c r="SXE260" s="821"/>
      <c r="SXF260" s="821"/>
      <c r="SXG260" s="821"/>
      <c r="SXH260" s="821"/>
      <c r="SXI260" s="821"/>
      <c r="SXJ260" s="821"/>
      <c r="SXK260" s="575"/>
      <c r="SXL260" s="821"/>
      <c r="SXM260" s="821"/>
      <c r="SXN260" s="821"/>
      <c r="SXO260" s="821"/>
      <c r="SXP260" s="821"/>
      <c r="SXQ260" s="821"/>
      <c r="SXR260" s="821"/>
      <c r="SXS260" s="821"/>
      <c r="SXT260" s="821"/>
      <c r="SXU260" s="821"/>
      <c r="SXV260" s="821"/>
      <c r="SXW260" s="821"/>
      <c r="SXX260" s="821"/>
      <c r="SXY260" s="821"/>
      <c r="SXZ260" s="821"/>
      <c r="SYA260" s="821"/>
      <c r="SYB260" s="821"/>
      <c r="SYC260" s="821"/>
      <c r="SYD260" s="821"/>
      <c r="SYE260" s="575"/>
      <c r="SYF260" s="821"/>
      <c r="SYG260" s="821"/>
      <c r="SYH260" s="821"/>
      <c r="SYI260" s="821"/>
      <c r="SYJ260" s="821"/>
      <c r="SYK260" s="821"/>
      <c r="SYL260" s="821"/>
      <c r="SYM260" s="821"/>
      <c r="SYN260" s="821"/>
      <c r="SYO260" s="821"/>
      <c r="SYP260" s="821"/>
      <c r="SYQ260" s="821"/>
      <c r="SYR260" s="821"/>
      <c r="SYS260" s="821"/>
      <c r="SYT260" s="821"/>
      <c r="SYU260" s="821"/>
      <c r="SYV260" s="821"/>
      <c r="SYW260" s="821"/>
      <c r="SYX260" s="821"/>
      <c r="SYY260" s="575"/>
      <c r="SYZ260" s="821"/>
      <c r="SZA260" s="821"/>
      <c r="SZB260" s="821"/>
      <c r="SZC260" s="821"/>
      <c r="SZD260" s="821"/>
      <c r="SZE260" s="821"/>
      <c r="SZF260" s="821"/>
      <c r="SZG260" s="821"/>
      <c r="SZH260" s="821"/>
      <c r="SZI260" s="821"/>
      <c r="SZJ260" s="821"/>
      <c r="SZK260" s="821"/>
      <c r="SZL260" s="821"/>
      <c r="SZM260" s="821"/>
      <c r="SZN260" s="821"/>
      <c r="SZO260" s="821"/>
      <c r="SZP260" s="821"/>
      <c r="SZQ260" s="821"/>
      <c r="SZR260" s="821"/>
      <c r="SZS260" s="575"/>
      <c r="SZT260" s="821"/>
      <c r="SZU260" s="821"/>
      <c r="SZV260" s="821"/>
      <c r="SZW260" s="821"/>
      <c r="SZX260" s="821"/>
      <c r="SZY260" s="821"/>
      <c r="SZZ260" s="821"/>
      <c r="TAA260" s="821"/>
      <c r="TAB260" s="821"/>
      <c r="TAC260" s="821"/>
      <c r="TAD260" s="821"/>
      <c r="TAE260" s="821"/>
      <c r="TAF260" s="821"/>
      <c r="TAG260" s="821"/>
      <c r="TAH260" s="821"/>
      <c r="TAI260" s="821"/>
      <c r="TAJ260" s="821"/>
      <c r="TAK260" s="821"/>
      <c r="TAL260" s="821"/>
      <c r="TAM260" s="575"/>
      <c r="TAN260" s="821"/>
      <c r="TAO260" s="821"/>
      <c r="TAP260" s="821"/>
      <c r="TAQ260" s="821"/>
      <c r="TAR260" s="821"/>
      <c r="TAS260" s="821"/>
      <c r="TAT260" s="821"/>
      <c r="TAU260" s="821"/>
      <c r="TAV260" s="821"/>
      <c r="TAW260" s="821"/>
      <c r="TAX260" s="821"/>
      <c r="TAY260" s="821"/>
      <c r="TAZ260" s="821"/>
      <c r="TBA260" s="821"/>
      <c r="TBB260" s="821"/>
      <c r="TBC260" s="821"/>
      <c r="TBD260" s="821"/>
      <c r="TBE260" s="821"/>
      <c r="TBF260" s="821"/>
      <c r="TBG260" s="575"/>
      <c r="TBH260" s="821"/>
      <c r="TBI260" s="821"/>
      <c r="TBJ260" s="821"/>
      <c r="TBK260" s="821"/>
      <c r="TBL260" s="821"/>
      <c r="TBM260" s="821"/>
      <c r="TBN260" s="821"/>
      <c r="TBO260" s="821"/>
      <c r="TBP260" s="821"/>
      <c r="TBQ260" s="821"/>
      <c r="TBR260" s="821"/>
      <c r="TBS260" s="821"/>
      <c r="TBT260" s="821"/>
      <c r="TBU260" s="821"/>
      <c r="TBV260" s="821"/>
      <c r="TBW260" s="821"/>
      <c r="TBX260" s="821"/>
      <c r="TBY260" s="821"/>
      <c r="TBZ260" s="821"/>
      <c r="TCA260" s="575"/>
      <c r="TCB260" s="821"/>
      <c r="TCC260" s="821"/>
      <c r="TCD260" s="821"/>
      <c r="TCE260" s="821"/>
      <c r="TCF260" s="821"/>
      <c r="TCG260" s="821"/>
      <c r="TCH260" s="821"/>
      <c r="TCI260" s="821"/>
      <c r="TCJ260" s="821"/>
      <c r="TCK260" s="821"/>
      <c r="TCL260" s="821"/>
      <c r="TCM260" s="821"/>
      <c r="TCN260" s="821"/>
      <c r="TCO260" s="821"/>
      <c r="TCP260" s="821"/>
      <c r="TCQ260" s="821"/>
      <c r="TCR260" s="821"/>
      <c r="TCS260" s="821"/>
      <c r="TCT260" s="821"/>
      <c r="TCU260" s="575"/>
      <c r="TCV260" s="821"/>
      <c r="TCW260" s="821"/>
      <c r="TCX260" s="821"/>
      <c r="TCY260" s="821"/>
      <c r="TCZ260" s="821"/>
      <c r="TDA260" s="821"/>
      <c r="TDB260" s="821"/>
      <c r="TDC260" s="821"/>
      <c r="TDD260" s="821"/>
      <c r="TDE260" s="821"/>
      <c r="TDF260" s="821"/>
      <c r="TDG260" s="821"/>
      <c r="TDH260" s="821"/>
      <c r="TDI260" s="821"/>
      <c r="TDJ260" s="821"/>
      <c r="TDK260" s="821"/>
      <c r="TDL260" s="821"/>
      <c r="TDM260" s="821"/>
      <c r="TDN260" s="821"/>
      <c r="TDO260" s="575"/>
      <c r="TDP260" s="821"/>
      <c r="TDQ260" s="821"/>
      <c r="TDR260" s="821"/>
      <c r="TDS260" s="821"/>
      <c r="TDT260" s="821"/>
      <c r="TDU260" s="821"/>
      <c r="TDV260" s="821"/>
      <c r="TDW260" s="821"/>
      <c r="TDX260" s="821"/>
      <c r="TDY260" s="821"/>
      <c r="TDZ260" s="821"/>
      <c r="TEA260" s="821"/>
      <c r="TEB260" s="821"/>
      <c r="TEC260" s="821"/>
      <c r="TED260" s="821"/>
      <c r="TEE260" s="821"/>
      <c r="TEF260" s="821"/>
      <c r="TEG260" s="821"/>
      <c r="TEH260" s="821"/>
      <c r="TEI260" s="575"/>
      <c r="TEJ260" s="821"/>
      <c r="TEK260" s="821"/>
      <c r="TEL260" s="821"/>
      <c r="TEM260" s="821"/>
      <c r="TEN260" s="821"/>
      <c r="TEO260" s="821"/>
      <c r="TEP260" s="821"/>
      <c r="TEQ260" s="821"/>
      <c r="TER260" s="821"/>
      <c r="TES260" s="821"/>
      <c r="TET260" s="821"/>
      <c r="TEU260" s="821"/>
      <c r="TEV260" s="821"/>
      <c r="TEW260" s="821"/>
      <c r="TEX260" s="821"/>
      <c r="TEY260" s="821"/>
      <c r="TEZ260" s="821"/>
      <c r="TFA260" s="821"/>
      <c r="TFB260" s="821"/>
      <c r="TFC260" s="575"/>
      <c r="TFD260" s="821"/>
      <c r="TFE260" s="821"/>
      <c r="TFF260" s="821"/>
      <c r="TFG260" s="821"/>
      <c r="TFH260" s="821"/>
      <c r="TFI260" s="821"/>
      <c r="TFJ260" s="821"/>
      <c r="TFK260" s="821"/>
      <c r="TFL260" s="821"/>
      <c r="TFM260" s="821"/>
      <c r="TFN260" s="821"/>
      <c r="TFO260" s="821"/>
      <c r="TFP260" s="821"/>
      <c r="TFQ260" s="821"/>
      <c r="TFR260" s="821"/>
      <c r="TFS260" s="821"/>
      <c r="TFT260" s="821"/>
      <c r="TFU260" s="821"/>
      <c r="TFV260" s="821"/>
      <c r="TFW260" s="575"/>
      <c r="TFX260" s="821"/>
      <c r="TFY260" s="821"/>
      <c r="TFZ260" s="821"/>
      <c r="TGA260" s="821"/>
      <c r="TGB260" s="821"/>
      <c r="TGC260" s="821"/>
      <c r="TGD260" s="821"/>
      <c r="TGE260" s="821"/>
      <c r="TGF260" s="821"/>
      <c r="TGG260" s="821"/>
      <c r="TGH260" s="821"/>
      <c r="TGI260" s="821"/>
      <c r="TGJ260" s="821"/>
      <c r="TGK260" s="821"/>
      <c r="TGL260" s="821"/>
      <c r="TGM260" s="821"/>
      <c r="TGN260" s="821"/>
      <c r="TGO260" s="821"/>
      <c r="TGP260" s="821"/>
      <c r="TGQ260" s="575"/>
      <c r="TGR260" s="821"/>
      <c r="TGS260" s="821"/>
      <c r="TGT260" s="821"/>
      <c r="TGU260" s="821"/>
      <c r="TGV260" s="821"/>
      <c r="TGW260" s="821"/>
      <c r="TGX260" s="821"/>
      <c r="TGY260" s="821"/>
      <c r="TGZ260" s="821"/>
      <c r="THA260" s="821"/>
      <c r="THB260" s="821"/>
      <c r="THC260" s="821"/>
      <c r="THD260" s="821"/>
      <c r="THE260" s="821"/>
      <c r="THF260" s="821"/>
      <c r="THG260" s="821"/>
      <c r="THH260" s="821"/>
      <c r="THI260" s="821"/>
      <c r="THJ260" s="821"/>
      <c r="THK260" s="575"/>
      <c r="THL260" s="821"/>
      <c r="THM260" s="821"/>
      <c r="THN260" s="821"/>
      <c r="THO260" s="821"/>
      <c r="THP260" s="821"/>
      <c r="THQ260" s="821"/>
      <c r="THR260" s="821"/>
      <c r="THS260" s="821"/>
      <c r="THT260" s="821"/>
      <c r="THU260" s="821"/>
      <c r="THV260" s="821"/>
      <c r="THW260" s="821"/>
      <c r="THX260" s="821"/>
      <c r="THY260" s="821"/>
      <c r="THZ260" s="821"/>
      <c r="TIA260" s="821"/>
      <c r="TIB260" s="821"/>
      <c r="TIC260" s="821"/>
      <c r="TID260" s="821"/>
      <c r="TIE260" s="575"/>
      <c r="TIF260" s="821"/>
      <c r="TIG260" s="821"/>
      <c r="TIH260" s="821"/>
      <c r="TII260" s="821"/>
      <c r="TIJ260" s="821"/>
      <c r="TIK260" s="821"/>
      <c r="TIL260" s="821"/>
      <c r="TIM260" s="821"/>
      <c r="TIN260" s="821"/>
      <c r="TIO260" s="821"/>
      <c r="TIP260" s="821"/>
      <c r="TIQ260" s="821"/>
      <c r="TIR260" s="821"/>
      <c r="TIS260" s="821"/>
      <c r="TIT260" s="821"/>
      <c r="TIU260" s="821"/>
      <c r="TIV260" s="821"/>
      <c r="TIW260" s="821"/>
      <c r="TIX260" s="821"/>
      <c r="TIY260" s="575"/>
      <c r="TIZ260" s="821"/>
      <c r="TJA260" s="821"/>
      <c r="TJB260" s="821"/>
      <c r="TJC260" s="821"/>
      <c r="TJD260" s="821"/>
      <c r="TJE260" s="821"/>
      <c r="TJF260" s="821"/>
      <c r="TJG260" s="821"/>
      <c r="TJH260" s="821"/>
      <c r="TJI260" s="821"/>
      <c r="TJJ260" s="821"/>
      <c r="TJK260" s="821"/>
      <c r="TJL260" s="821"/>
      <c r="TJM260" s="821"/>
      <c r="TJN260" s="821"/>
      <c r="TJO260" s="821"/>
      <c r="TJP260" s="821"/>
      <c r="TJQ260" s="821"/>
      <c r="TJR260" s="821"/>
      <c r="TJS260" s="575"/>
      <c r="TJT260" s="821"/>
      <c r="TJU260" s="821"/>
      <c r="TJV260" s="821"/>
      <c r="TJW260" s="821"/>
      <c r="TJX260" s="821"/>
      <c r="TJY260" s="821"/>
      <c r="TJZ260" s="821"/>
      <c r="TKA260" s="821"/>
      <c r="TKB260" s="821"/>
      <c r="TKC260" s="821"/>
      <c r="TKD260" s="821"/>
      <c r="TKE260" s="821"/>
      <c r="TKF260" s="821"/>
      <c r="TKG260" s="821"/>
      <c r="TKH260" s="821"/>
      <c r="TKI260" s="821"/>
      <c r="TKJ260" s="821"/>
      <c r="TKK260" s="821"/>
      <c r="TKL260" s="821"/>
      <c r="TKM260" s="575"/>
      <c r="TKN260" s="821"/>
      <c r="TKO260" s="821"/>
      <c r="TKP260" s="821"/>
      <c r="TKQ260" s="821"/>
      <c r="TKR260" s="821"/>
      <c r="TKS260" s="821"/>
      <c r="TKT260" s="821"/>
      <c r="TKU260" s="821"/>
      <c r="TKV260" s="821"/>
      <c r="TKW260" s="821"/>
      <c r="TKX260" s="821"/>
      <c r="TKY260" s="821"/>
      <c r="TKZ260" s="821"/>
      <c r="TLA260" s="821"/>
      <c r="TLB260" s="821"/>
      <c r="TLC260" s="821"/>
      <c r="TLD260" s="821"/>
      <c r="TLE260" s="821"/>
      <c r="TLF260" s="821"/>
      <c r="TLG260" s="575"/>
      <c r="TLH260" s="821"/>
      <c r="TLI260" s="821"/>
      <c r="TLJ260" s="821"/>
      <c r="TLK260" s="821"/>
      <c r="TLL260" s="821"/>
      <c r="TLM260" s="821"/>
      <c r="TLN260" s="821"/>
      <c r="TLO260" s="821"/>
      <c r="TLP260" s="821"/>
      <c r="TLQ260" s="821"/>
      <c r="TLR260" s="821"/>
      <c r="TLS260" s="821"/>
      <c r="TLT260" s="821"/>
      <c r="TLU260" s="821"/>
      <c r="TLV260" s="821"/>
      <c r="TLW260" s="821"/>
      <c r="TLX260" s="821"/>
      <c r="TLY260" s="821"/>
      <c r="TLZ260" s="821"/>
      <c r="TMA260" s="575"/>
      <c r="TMB260" s="821"/>
      <c r="TMC260" s="821"/>
      <c r="TMD260" s="821"/>
      <c r="TME260" s="821"/>
      <c r="TMF260" s="821"/>
      <c r="TMG260" s="821"/>
      <c r="TMH260" s="821"/>
      <c r="TMI260" s="821"/>
      <c r="TMJ260" s="821"/>
      <c r="TMK260" s="821"/>
      <c r="TML260" s="821"/>
      <c r="TMM260" s="821"/>
      <c r="TMN260" s="821"/>
      <c r="TMO260" s="821"/>
      <c r="TMP260" s="821"/>
      <c r="TMQ260" s="821"/>
      <c r="TMR260" s="821"/>
      <c r="TMS260" s="821"/>
      <c r="TMT260" s="821"/>
      <c r="TMU260" s="575"/>
      <c r="TMV260" s="821"/>
      <c r="TMW260" s="821"/>
      <c r="TMX260" s="821"/>
      <c r="TMY260" s="821"/>
      <c r="TMZ260" s="821"/>
      <c r="TNA260" s="821"/>
      <c r="TNB260" s="821"/>
      <c r="TNC260" s="821"/>
      <c r="TND260" s="821"/>
      <c r="TNE260" s="821"/>
      <c r="TNF260" s="821"/>
      <c r="TNG260" s="821"/>
      <c r="TNH260" s="821"/>
      <c r="TNI260" s="821"/>
      <c r="TNJ260" s="821"/>
      <c r="TNK260" s="821"/>
      <c r="TNL260" s="821"/>
      <c r="TNM260" s="821"/>
      <c r="TNN260" s="821"/>
      <c r="TNO260" s="575"/>
      <c r="TNP260" s="821"/>
      <c r="TNQ260" s="821"/>
      <c r="TNR260" s="821"/>
      <c r="TNS260" s="821"/>
      <c r="TNT260" s="821"/>
      <c r="TNU260" s="821"/>
      <c r="TNV260" s="821"/>
      <c r="TNW260" s="821"/>
      <c r="TNX260" s="821"/>
      <c r="TNY260" s="821"/>
      <c r="TNZ260" s="821"/>
      <c r="TOA260" s="821"/>
      <c r="TOB260" s="821"/>
      <c r="TOC260" s="821"/>
      <c r="TOD260" s="821"/>
      <c r="TOE260" s="821"/>
      <c r="TOF260" s="821"/>
      <c r="TOG260" s="821"/>
      <c r="TOH260" s="821"/>
      <c r="TOI260" s="575"/>
      <c r="TOJ260" s="821"/>
      <c r="TOK260" s="821"/>
      <c r="TOL260" s="821"/>
      <c r="TOM260" s="821"/>
      <c r="TON260" s="821"/>
      <c r="TOO260" s="821"/>
      <c r="TOP260" s="821"/>
      <c r="TOQ260" s="821"/>
      <c r="TOR260" s="821"/>
      <c r="TOS260" s="821"/>
      <c r="TOT260" s="821"/>
      <c r="TOU260" s="821"/>
      <c r="TOV260" s="821"/>
      <c r="TOW260" s="821"/>
      <c r="TOX260" s="821"/>
      <c r="TOY260" s="821"/>
      <c r="TOZ260" s="821"/>
      <c r="TPA260" s="821"/>
      <c r="TPB260" s="821"/>
      <c r="TPC260" s="575"/>
      <c r="TPD260" s="821"/>
      <c r="TPE260" s="821"/>
      <c r="TPF260" s="821"/>
      <c r="TPG260" s="821"/>
      <c r="TPH260" s="821"/>
      <c r="TPI260" s="821"/>
      <c r="TPJ260" s="821"/>
      <c r="TPK260" s="821"/>
      <c r="TPL260" s="821"/>
      <c r="TPM260" s="821"/>
      <c r="TPN260" s="821"/>
      <c r="TPO260" s="821"/>
      <c r="TPP260" s="821"/>
      <c r="TPQ260" s="821"/>
      <c r="TPR260" s="821"/>
      <c r="TPS260" s="821"/>
      <c r="TPT260" s="821"/>
      <c r="TPU260" s="821"/>
      <c r="TPV260" s="821"/>
      <c r="TPW260" s="575"/>
      <c r="TPX260" s="821"/>
      <c r="TPY260" s="821"/>
      <c r="TPZ260" s="821"/>
      <c r="TQA260" s="821"/>
      <c r="TQB260" s="821"/>
      <c r="TQC260" s="821"/>
      <c r="TQD260" s="821"/>
      <c r="TQE260" s="821"/>
      <c r="TQF260" s="821"/>
      <c r="TQG260" s="821"/>
      <c r="TQH260" s="821"/>
      <c r="TQI260" s="821"/>
      <c r="TQJ260" s="821"/>
      <c r="TQK260" s="821"/>
      <c r="TQL260" s="821"/>
      <c r="TQM260" s="821"/>
      <c r="TQN260" s="821"/>
      <c r="TQO260" s="821"/>
      <c r="TQP260" s="821"/>
      <c r="TQQ260" s="575"/>
      <c r="TQR260" s="821"/>
      <c r="TQS260" s="821"/>
      <c r="TQT260" s="821"/>
      <c r="TQU260" s="821"/>
      <c r="TQV260" s="821"/>
      <c r="TQW260" s="821"/>
      <c r="TQX260" s="821"/>
      <c r="TQY260" s="821"/>
      <c r="TQZ260" s="821"/>
      <c r="TRA260" s="821"/>
      <c r="TRB260" s="821"/>
      <c r="TRC260" s="821"/>
      <c r="TRD260" s="821"/>
      <c r="TRE260" s="821"/>
      <c r="TRF260" s="821"/>
      <c r="TRG260" s="821"/>
      <c r="TRH260" s="821"/>
      <c r="TRI260" s="821"/>
      <c r="TRJ260" s="821"/>
      <c r="TRK260" s="575"/>
      <c r="TRL260" s="821"/>
      <c r="TRM260" s="821"/>
      <c r="TRN260" s="821"/>
      <c r="TRO260" s="821"/>
      <c r="TRP260" s="821"/>
      <c r="TRQ260" s="821"/>
      <c r="TRR260" s="821"/>
      <c r="TRS260" s="821"/>
      <c r="TRT260" s="821"/>
      <c r="TRU260" s="821"/>
      <c r="TRV260" s="821"/>
      <c r="TRW260" s="821"/>
      <c r="TRX260" s="821"/>
      <c r="TRY260" s="821"/>
      <c r="TRZ260" s="821"/>
      <c r="TSA260" s="821"/>
      <c r="TSB260" s="821"/>
      <c r="TSC260" s="821"/>
      <c r="TSD260" s="821"/>
      <c r="TSE260" s="575"/>
      <c r="TSF260" s="821"/>
      <c r="TSG260" s="821"/>
      <c r="TSH260" s="821"/>
      <c r="TSI260" s="821"/>
      <c r="TSJ260" s="821"/>
      <c r="TSK260" s="821"/>
      <c r="TSL260" s="821"/>
      <c r="TSM260" s="821"/>
      <c r="TSN260" s="821"/>
      <c r="TSO260" s="821"/>
      <c r="TSP260" s="821"/>
      <c r="TSQ260" s="821"/>
      <c r="TSR260" s="821"/>
      <c r="TSS260" s="821"/>
      <c r="TST260" s="821"/>
      <c r="TSU260" s="821"/>
      <c r="TSV260" s="821"/>
      <c r="TSW260" s="821"/>
      <c r="TSX260" s="821"/>
      <c r="TSY260" s="575"/>
      <c r="TSZ260" s="821"/>
      <c r="TTA260" s="821"/>
      <c r="TTB260" s="821"/>
      <c r="TTC260" s="821"/>
      <c r="TTD260" s="821"/>
      <c r="TTE260" s="821"/>
      <c r="TTF260" s="821"/>
      <c r="TTG260" s="821"/>
      <c r="TTH260" s="821"/>
      <c r="TTI260" s="821"/>
      <c r="TTJ260" s="821"/>
      <c r="TTK260" s="821"/>
      <c r="TTL260" s="821"/>
      <c r="TTM260" s="821"/>
      <c r="TTN260" s="821"/>
      <c r="TTO260" s="821"/>
      <c r="TTP260" s="821"/>
      <c r="TTQ260" s="821"/>
      <c r="TTR260" s="821"/>
      <c r="TTS260" s="575"/>
      <c r="TTT260" s="821"/>
      <c r="TTU260" s="821"/>
      <c r="TTV260" s="821"/>
      <c r="TTW260" s="821"/>
      <c r="TTX260" s="821"/>
      <c r="TTY260" s="821"/>
      <c r="TTZ260" s="821"/>
      <c r="TUA260" s="821"/>
      <c r="TUB260" s="821"/>
      <c r="TUC260" s="821"/>
      <c r="TUD260" s="821"/>
      <c r="TUE260" s="821"/>
      <c r="TUF260" s="821"/>
      <c r="TUG260" s="821"/>
      <c r="TUH260" s="821"/>
      <c r="TUI260" s="821"/>
      <c r="TUJ260" s="821"/>
      <c r="TUK260" s="821"/>
      <c r="TUL260" s="821"/>
      <c r="TUM260" s="575"/>
      <c r="TUN260" s="821"/>
      <c r="TUO260" s="821"/>
      <c r="TUP260" s="821"/>
      <c r="TUQ260" s="821"/>
      <c r="TUR260" s="821"/>
      <c r="TUS260" s="821"/>
      <c r="TUT260" s="821"/>
      <c r="TUU260" s="821"/>
      <c r="TUV260" s="821"/>
      <c r="TUW260" s="821"/>
      <c r="TUX260" s="821"/>
      <c r="TUY260" s="821"/>
      <c r="TUZ260" s="821"/>
      <c r="TVA260" s="821"/>
      <c r="TVB260" s="821"/>
      <c r="TVC260" s="821"/>
      <c r="TVD260" s="821"/>
      <c r="TVE260" s="821"/>
      <c r="TVF260" s="821"/>
      <c r="TVG260" s="575"/>
      <c r="TVH260" s="821"/>
      <c r="TVI260" s="821"/>
      <c r="TVJ260" s="821"/>
      <c r="TVK260" s="821"/>
      <c r="TVL260" s="821"/>
      <c r="TVM260" s="821"/>
      <c r="TVN260" s="821"/>
      <c r="TVO260" s="821"/>
      <c r="TVP260" s="821"/>
      <c r="TVQ260" s="821"/>
      <c r="TVR260" s="821"/>
      <c r="TVS260" s="821"/>
      <c r="TVT260" s="821"/>
      <c r="TVU260" s="821"/>
      <c r="TVV260" s="821"/>
      <c r="TVW260" s="821"/>
      <c r="TVX260" s="821"/>
      <c r="TVY260" s="821"/>
      <c r="TVZ260" s="821"/>
      <c r="TWA260" s="575"/>
      <c r="TWB260" s="821"/>
      <c r="TWC260" s="821"/>
      <c r="TWD260" s="821"/>
      <c r="TWE260" s="821"/>
      <c r="TWF260" s="821"/>
      <c r="TWG260" s="821"/>
      <c r="TWH260" s="821"/>
      <c r="TWI260" s="821"/>
      <c r="TWJ260" s="821"/>
      <c r="TWK260" s="821"/>
      <c r="TWL260" s="821"/>
      <c r="TWM260" s="821"/>
      <c r="TWN260" s="821"/>
      <c r="TWO260" s="821"/>
      <c r="TWP260" s="821"/>
      <c r="TWQ260" s="821"/>
      <c r="TWR260" s="821"/>
      <c r="TWS260" s="821"/>
      <c r="TWT260" s="821"/>
      <c r="TWU260" s="575"/>
      <c r="TWV260" s="821"/>
      <c r="TWW260" s="821"/>
      <c r="TWX260" s="821"/>
      <c r="TWY260" s="821"/>
      <c r="TWZ260" s="821"/>
      <c r="TXA260" s="821"/>
      <c r="TXB260" s="821"/>
      <c r="TXC260" s="821"/>
      <c r="TXD260" s="821"/>
      <c r="TXE260" s="821"/>
      <c r="TXF260" s="821"/>
      <c r="TXG260" s="821"/>
      <c r="TXH260" s="821"/>
      <c r="TXI260" s="821"/>
      <c r="TXJ260" s="821"/>
      <c r="TXK260" s="821"/>
      <c r="TXL260" s="821"/>
      <c r="TXM260" s="821"/>
      <c r="TXN260" s="821"/>
      <c r="TXO260" s="575"/>
      <c r="TXP260" s="821"/>
      <c r="TXQ260" s="821"/>
      <c r="TXR260" s="821"/>
      <c r="TXS260" s="821"/>
      <c r="TXT260" s="821"/>
      <c r="TXU260" s="821"/>
      <c r="TXV260" s="821"/>
      <c r="TXW260" s="821"/>
      <c r="TXX260" s="821"/>
      <c r="TXY260" s="821"/>
      <c r="TXZ260" s="821"/>
      <c r="TYA260" s="821"/>
      <c r="TYB260" s="821"/>
      <c r="TYC260" s="821"/>
      <c r="TYD260" s="821"/>
      <c r="TYE260" s="821"/>
      <c r="TYF260" s="821"/>
      <c r="TYG260" s="821"/>
      <c r="TYH260" s="821"/>
      <c r="TYI260" s="575"/>
      <c r="TYJ260" s="821"/>
      <c r="TYK260" s="821"/>
      <c r="TYL260" s="821"/>
      <c r="TYM260" s="821"/>
      <c r="TYN260" s="821"/>
      <c r="TYO260" s="821"/>
      <c r="TYP260" s="821"/>
      <c r="TYQ260" s="821"/>
      <c r="TYR260" s="821"/>
      <c r="TYS260" s="821"/>
      <c r="TYT260" s="821"/>
      <c r="TYU260" s="821"/>
      <c r="TYV260" s="821"/>
      <c r="TYW260" s="821"/>
      <c r="TYX260" s="821"/>
      <c r="TYY260" s="821"/>
      <c r="TYZ260" s="821"/>
      <c r="TZA260" s="821"/>
      <c r="TZB260" s="821"/>
      <c r="TZC260" s="575"/>
      <c r="TZD260" s="821"/>
      <c r="TZE260" s="821"/>
      <c r="TZF260" s="821"/>
      <c r="TZG260" s="821"/>
      <c r="TZH260" s="821"/>
      <c r="TZI260" s="821"/>
      <c r="TZJ260" s="821"/>
      <c r="TZK260" s="821"/>
      <c r="TZL260" s="821"/>
      <c r="TZM260" s="821"/>
      <c r="TZN260" s="821"/>
      <c r="TZO260" s="821"/>
      <c r="TZP260" s="821"/>
      <c r="TZQ260" s="821"/>
      <c r="TZR260" s="821"/>
      <c r="TZS260" s="821"/>
      <c r="TZT260" s="821"/>
      <c r="TZU260" s="821"/>
      <c r="TZV260" s="821"/>
      <c r="TZW260" s="575"/>
      <c r="TZX260" s="821"/>
      <c r="TZY260" s="821"/>
      <c r="TZZ260" s="821"/>
      <c r="UAA260" s="821"/>
      <c r="UAB260" s="821"/>
      <c r="UAC260" s="821"/>
      <c r="UAD260" s="821"/>
      <c r="UAE260" s="821"/>
      <c r="UAF260" s="821"/>
      <c r="UAG260" s="821"/>
      <c r="UAH260" s="821"/>
      <c r="UAI260" s="821"/>
      <c r="UAJ260" s="821"/>
      <c r="UAK260" s="821"/>
      <c r="UAL260" s="821"/>
      <c r="UAM260" s="821"/>
      <c r="UAN260" s="821"/>
      <c r="UAO260" s="821"/>
      <c r="UAP260" s="821"/>
      <c r="UAQ260" s="575"/>
      <c r="UAR260" s="821"/>
      <c r="UAS260" s="821"/>
      <c r="UAT260" s="821"/>
      <c r="UAU260" s="821"/>
      <c r="UAV260" s="821"/>
      <c r="UAW260" s="821"/>
      <c r="UAX260" s="821"/>
      <c r="UAY260" s="821"/>
      <c r="UAZ260" s="821"/>
      <c r="UBA260" s="821"/>
      <c r="UBB260" s="821"/>
      <c r="UBC260" s="821"/>
      <c r="UBD260" s="821"/>
      <c r="UBE260" s="821"/>
      <c r="UBF260" s="821"/>
      <c r="UBG260" s="821"/>
      <c r="UBH260" s="821"/>
      <c r="UBI260" s="821"/>
      <c r="UBJ260" s="821"/>
      <c r="UBK260" s="575"/>
      <c r="UBL260" s="821"/>
      <c r="UBM260" s="821"/>
      <c r="UBN260" s="821"/>
      <c r="UBO260" s="821"/>
      <c r="UBP260" s="821"/>
      <c r="UBQ260" s="821"/>
      <c r="UBR260" s="821"/>
      <c r="UBS260" s="821"/>
      <c r="UBT260" s="821"/>
      <c r="UBU260" s="821"/>
      <c r="UBV260" s="821"/>
      <c r="UBW260" s="821"/>
      <c r="UBX260" s="821"/>
      <c r="UBY260" s="821"/>
      <c r="UBZ260" s="821"/>
      <c r="UCA260" s="821"/>
      <c r="UCB260" s="821"/>
      <c r="UCC260" s="821"/>
      <c r="UCD260" s="821"/>
      <c r="UCE260" s="575"/>
      <c r="UCF260" s="821"/>
      <c r="UCG260" s="821"/>
      <c r="UCH260" s="821"/>
      <c r="UCI260" s="821"/>
      <c r="UCJ260" s="821"/>
      <c r="UCK260" s="821"/>
      <c r="UCL260" s="821"/>
      <c r="UCM260" s="821"/>
      <c r="UCN260" s="821"/>
      <c r="UCO260" s="821"/>
      <c r="UCP260" s="821"/>
      <c r="UCQ260" s="821"/>
      <c r="UCR260" s="821"/>
      <c r="UCS260" s="821"/>
      <c r="UCT260" s="821"/>
      <c r="UCU260" s="821"/>
      <c r="UCV260" s="821"/>
      <c r="UCW260" s="821"/>
      <c r="UCX260" s="821"/>
      <c r="UCY260" s="575"/>
      <c r="UCZ260" s="821"/>
      <c r="UDA260" s="821"/>
      <c r="UDB260" s="821"/>
      <c r="UDC260" s="821"/>
      <c r="UDD260" s="821"/>
      <c r="UDE260" s="821"/>
      <c r="UDF260" s="821"/>
      <c r="UDG260" s="821"/>
      <c r="UDH260" s="821"/>
      <c r="UDI260" s="821"/>
      <c r="UDJ260" s="821"/>
      <c r="UDK260" s="821"/>
      <c r="UDL260" s="821"/>
      <c r="UDM260" s="821"/>
      <c r="UDN260" s="821"/>
      <c r="UDO260" s="821"/>
      <c r="UDP260" s="821"/>
      <c r="UDQ260" s="821"/>
      <c r="UDR260" s="821"/>
      <c r="UDS260" s="575"/>
      <c r="UDT260" s="821"/>
      <c r="UDU260" s="821"/>
      <c r="UDV260" s="821"/>
      <c r="UDW260" s="821"/>
      <c r="UDX260" s="821"/>
      <c r="UDY260" s="821"/>
      <c r="UDZ260" s="821"/>
      <c r="UEA260" s="821"/>
      <c r="UEB260" s="821"/>
      <c r="UEC260" s="821"/>
      <c r="UED260" s="821"/>
      <c r="UEE260" s="821"/>
      <c r="UEF260" s="821"/>
      <c r="UEG260" s="821"/>
      <c r="UEH260" s="821"/>
      <c r="UEI260" s="821"/>
      <c r="UEJ260" s="821"/>
      <c r="UEK260" s="821"/>
      <c r="UEL260" s="821"/>
      <c r="UEM260" s="575"/>
      <c r="UEN260" s="821"/>
      <c r="UEO260" s="821"/>
      <c r="UEP260" s="821"/>
      <c r="UEQ260" s="821"/>
      <c r="UER260" s="821"/>
      <c r="UES260" s="821"/>
      <c r="UET260" s="821"/>
      <c r="UEU260" s="821"/>
      <c r="UEV260" s="821"/>
      <c r="UEW260" s="821"/>
      <c r="UEX260" s="821"/>
      <c r="UEY260" s="821"/>
      <c r="UEZ260" s="821"/>
      <c r="UFA260" s="821"/>
      <c r="UFB260" s="821"/>
      <c r="UFC260" s="821"/>
      <c r="UFD260" s="821"/>
      <c r="UFE260" s="821"/>
      <c r="UFF260" s="821"/>
      <c r="UFG260" s="575"/>
      <c r="UFH260" s="821"/>
      <c r="UFI260" s="821"/>
      <c r="UFJ260" s="821"/>
      <c r="UFK260" s="821"/>
      <c r="UFL260" s="821"/>
      <c r="UFM260" s="821"/>
      <c r="UFN260" s="821"/>
      <c r="UFO260" s="821"/>
      <c r="UFP260" s="821"/>
      <c r="UFQ260" s="821"/>
      <c r="UFR260" s="821"/>
      <c r="UFS260" s="821"/>
      <c r="UFT260" s="821"/>
      <c r="UFU260" s="821"/>
      <c r="UFV260" s="821"/>
      <c r="UFW260" s="821"/>
      <c r="UFX260" s="821"/>
      <c r="UFY260" s="821"/>
      <c r="UFZ260" s="821"/>
      <c r="UGA260" s="575"/>
      <c r="UGB260" s="821"/>
      <c r="UGC260" s="821"/>
      <c r="UGD260" s="821"/>
      <c r="UGE260" s="821"/>
      <c r="UGF260" s="821"/>
      <c r="UGG260" s="821"/>
      <c r="UGH260" s="821"/>
      <c r="UGI260" s="821"/>
      <c r="UGJ260" s="821"/>
      <c r="UGK260" s="821"/>
      <c r="UGL260" s="821"/>
      <c r="UGM260" s="821"/>
      <c r="UGN260" s="821"/>
      <c r="UGO260" s="821"/>
      <c r="UGP260" s="821"/>
      <c r="UGQ260" s="821"/>
      <c r="UGR260" s="821"/>
      <c r="UGS260" s="821"/>
      <c r="UGT260" s="821"/>
      <c r="UGU260" s="575"/>
      <c r="UGV260" s="821"/>
      <c r="UGW260" s="821"/>
      <c r="UGX260" s="821"/>
      <c r="UGY260" s="821"/>
      <c r="UGZ260" s="821"/>
      <c r="UHA260" s="821"/>
      <c r="UHB260" s="821"/>
      <c r="UHC260" s="821"/>
      <c r="UHD260" s="821"/>
      <c r="UHE260" s="821"/>
      <c r="UHF260" s="821"/>
      <c r="UHG260" s="821"/>
      <c r="UHH260" s="821"/>
      <c r="UHI260" s="821"/>
      <c r="UHJ260" s="821"/>
      <c r="UHK260" s="821"/>
      <c r="UHL260" s="821"/>
      <c r="UHM260" s="821"/>
      <c r="UHN260" s="821"/>
      <c r="UHO260" s="575"/>
      <c r="UHP260" s="821"/>
      <c r="UHQ260" s="821"/>
      <c r="UHR260" s="821"/>
      <c r="UHS260" s="821"/>
      <c r="UHT260" s="821"/>
      <c r="UHU260" s="821"/>
      <c r="UHV260" s="821"/>
      <c r="UHW260" s="821"/>
      <c r="UHX260" s="821"/>
      <c r="UHY260" s="821"/>
      <c r="UHZ260" s="821"/>
      <c r="UIA260" s="821"/>
      <c r="UIB260" s="821"/>
      <c r="UIC260" s="821"/>
      <c r="UID260" s="821"/>
      <c r="UIE260" s="821"/>
      <c r="UIF260" s="821"/>
      <c r="UIG260" s="821"/>
      <c r="UIH260" s="821"/>
      <c r="UII260" s="575"/>
      <c r="UIJ260" s="821"/>
      <c r="UIK260" s="821"/>
      <c r="UIL260" s="821"/>
      <c r="UIM260" s="821"/>
      <c r="UIN260" s="821"/>
      <c r="UIO260" s="821"/>
      <c r="UIP260" s="821"/>
      <c r="UIQ260" s="821"/>
      <c r="UIR260" s="821"/>
      <c r="UIS260" s="821"/>
      <c r="UIT260" s="821"/>
      <c r="UIU260" s="821"/>
      <c r="UIV260" s="821"/>
      <c r="UIW260" s="821"/>
      <c r="UIX260" s="821"/>
      <c r="UIY260" s="821"/>
      <c r="UIZ260" s="821"/>
      <c r="UJA260" s="821"/>
      <c r="UJB260" s="821"/>
      <c r="UJC260" s="575"/>
      <c r="UJD260" s="821"/>
      <c r="UJE260" s="821"/>
      <c r="UJF260" s="821"/>
      <c r="UJG260" s="821"/>
      <c r="UJH260" s="821"/>
      <c r="UJI260" s="821"/>
      <c r="UJJ260" s="821"/>
      <c r="UJK260" s="821"/>
      <c r="UJL260" s="821"/>
      <c r="UJM260" s="821"/>
      <c r="UJN260" s="821"/>
      <c r="UJO260" s="821"/>
      <c r="UJP260" s="821"/>
      <c r="UJQ260" s="821"/>
      <c r="UJR260" s="821"/>
      <c r="UJS260" s="821"/>
      <c r="UJT260" s="821"/>
      <c r="UJU260" s="821"/>
      <c r="UJV260" s="821"/>
      <c r="UJW260" s="575"/>
      <c r="UJX260" s="821"/>
      <c r="UJY260" s="821"/>
      <c r="UJZ260" s="821"/>
      <c r="UKA260" s="821"/>
      <c r="UKB260" s="821"/>
      <c r="UKC260" s="821"/>
      <c r="UKD260" s="821"/>
      <c r="UKE260" s="821"/>
      <c r="UKF260" s="821"/>
      <c r="UKG260" s="821"/>
      <c r="UKH260" s="821"/>
      <c r="UKI260" s="821"/>
      <c r="UKJ260" s="821"/>
      <c r="UKK260" s="821"/>
      <c r="UKL260" s="821"/>
      <c r="UKM260" s="821"/>
      <c r="UKN260" s="821"/>
      <c r="UKO260" s="821"/>
      <c r="UKP260" s="821"/>
      <c r="UKQ260" s="575"/>
      <c r="UKR260" s="821"/>
      <c r="UKS260" s="821"/>
      <c r="UKT260" s="821"/>
      <c r="UKU260" s="821"/>
      <c r="UKV260" s="821"/>
      <c r="UKW260" s="821"/>
      <c r="UKX260" s="821"/>
      <c r="UKY260" s="821"/>
      <c r="UKZ260" s="821"/>
      <c r="ULA260" s="821"/>
      <c r="ULB260" s="821"/>
      <c r="ULC260" s="821"/>
      <c r="ULD260" s="821"/>
      <c r="ULE260" s="821"/>
      <c r="ULF260" s="821"/>
      <c r="ULG260" s="821"/>
      <c r="ULH260" s="821"/>
      <c r="ULI260" s="821"/>
      <c r="ULJ260" s="821"/>
      <c r="ULK260" s="575"/>
      <c r="ULL260" s="821"/>
      <c r="ULM260" s="821"/>
      <c r="ULN260" s="821"/>
      <c r="ULO260" s="821"/>
      <c r="ULP260" s="821"/>
      <c r="ULQ260" s="821"/>
      <c r="ULR260" s="821"/>
      <c r="ULS260" s="821"/>
      <c r="ULT260" s="821"/>
      <c r="ULU260" s="821"/>
      <c r="ULV260" s="821"/>
      <c r="ULW260" s="821"/>
      <c r="ULX260" s="821"/>
      <c r="ULY260" s="821"/>
      <c r="ULZ260" s="821"/>
      <c r="UMA260" s="821"/>
      <c r="UMB260" s="821"/>
      <c r="UMC260" s="821"/>
      <c r="UMD260" s="821"/>
      <c r="UME260" s="575"/>
      <c r="UMF260" s="821"/>
      <c r="UMG260" s="821"/>
      <c r="UMH260" s="821"/>
      <c r="UMI260" s="821"/>
      <c r="UMJ260" s="821"/>
      <c r="UMK260" s="821"/>
      <c r="UML260" s="821"/>
      <c r="UMM260" s="821"/>
      <c r="UMN260" s="821"/>
      <c r="UMO260" s="821"/>
      <c r="UMP260" s="821"/>
      <c r="UMQ260" s="821"/>
      <c r="UMR260" s="821"/>
      <c r="UMS260" s="821"/>
      <c r="UMT260" s="821"/>
      <c r="UMU260" s="821"/>
      <c r="UMV260" s="821"/>
      <c r="UMW260" s="821"/>
      <c r="UMX260" s="821"/>
      <c r="UMY260" s="575"/>
      <c r="UMZ260" s="821"/>
      <c r="UNA260" s="821"/>
      <c r="UNB260" s="821"/>
      <c r="UNC260" s="821"/>
      <c r="UND260" s="821"/>
      <c r="UNE260" s="821"/>
      <c r="UNF260" s="821"/>
      <c r="UNG260" s="821"/>
      <c r="UNH260" s="821"/>
      <c r="UNI260" s="821"/>
      <c r="UNJ260" s="821"/>
      <c r="UNK260" s="821"/>
      <c r="UNL260" s="821"/>
      <c r="UNM260" s="821"/>
      <c r="UNN260" s="821"/>
      <c r="UNO260" s="821"/>
      <c r="UNP260" s="821"/>
      <c r="UNQ260" s="821"/>
      <c r="UNR260" s="821"/>
      <c r="UNS260" s="575"/>
      <c r="UNT260" s="821"/>
      <c r="UNU260" s="821"/>
      <c r="UNV260" s="821"/>
      <c r="UNW260" s="821"/>
      <c r="UNX260" s="821"/>
      <c r="UNY260" s="821"/>
      <c r="UNZ260" s="821"/>
      <c r="UOA260" s="821"/>
      <c r="UOB260" s="821"/>
      <c r="UOC260" s="821"/>
      <c r="UOD260" s="821"/>
      <c r="UOE260" s="821"/>
      <c r="UOF260" s="821"/>
      <c r="UOG260" s="821"/>
      <c r="UOH260" s="821"/>
      <c r="UOI260" s="821"/>
      <c r="UOJ260" s="821"/>
      <c r="UOK260" s="821"/>
      <c r="UOL260" s="821"/>
      <c r="UOM260" s="575"/>
      <c r="UON260" s="821"/>
      <c r="UOO260" s="821"/>
      <c r="UOP260" s="821"/>
      <c r="UOQ260" s="821"/>
      <c r="UOR260" s="821"/>
      <c r="UOS260" s="821"/>
      <c r="UOT260" s="821"/>
      <c r="UOU260" s="821"/>
      <c r="UOV260" s="821"/>
      <c r="UOW260" s="821"/>
      <c r="UOX260" s="821"/>
      <c r="UOY260" s="821"/>
      <c r="UOZ260" s="821"/>
      <c r="UPA260" s="821"/>
      <c r="UPB260" s="821"/>
      <c r="UPC260" s="821"/>
      <c r="UPD260" s="821"/>
      <c r="UPE260" s="821"/>
      <c r="UPF260" s="821"/>
      <c r="UPG260" s="575"/>
      <c r="UPH260" s="821"/>
      <c r="UPI260" s="821"/>
      <c r="UPJ260" s="821"/>
      <c r="UPK260" s="821"/>
      <c r="UPL260" s="821"/>
      <c r="UPM260" s="821"/>
      <c r="UPN260" s="821"/>
      <c r="UPO260" s="821"/>
      <c r="UPP260" s="821"/>
      <c r="UPQ260" s="821"/>
      <c r="UPR260" s="821"/>
      <c r="UPS260" s="821"/>
      <c r="UPT260" s="821"/>
      <c r="UPU260" s="821"/>
      <c r="UPV260" s="821"/>
      <c r="UPW260" s="821"/>
      <c r="UPX260" s="821"/>
      <c r="UPY260" s="821"/>
      <c r="UPZ260" s="821"/>
      <c r="UQA260" s="575"/>
      <c r="UQB260" s="821"/>
      <c r="UQC260" s="821"/>
      <c r="UQD260" s="821"/>
      <c r="UQE260" s="821"/>
      <c r="UQF260" s="821"/>
      <c r="UQG260" s="821"/>
      <c r="UQH260" s="821"/>
      <c r="UQI260" s="821"/>
      <c r="UQJ260" s="821"/>
      <c r="UQK260" s="821"/>
      <c r="UQL260" s="821"/>
      <c r="UQM260" s="821"/>
      <c r="UQN260" s="821"/>
      <c r="UQO260" s="821"/>
      <c r="UQP260" s="821"/>
      <c r="UQQ260" s="821"/>
      <c r="UQR260" s="821"/>
      <c r="UQS260" s="821"/>
      <c r="UQT260" s="821"/>
      <c r="UQU260" s="575"/>
      <c r="UQV260" s="821"/>
      <c r="UQW260" s="821"/>
      <c r="UQX260" s="821"/>
      <c r="UQY260" s="821"/>
      <c r="UQZ260" s="821"/>
      <c r="URA260" s="821"/>
      <c r="URB260" s="821"/>
      <c r="URC260" s="821"/>
      <c r="URD260" s="821"/>
      <c r="URE260" s="821"/>
      <c r="URF260" s="821"/>
      <c r="URG260" s="821"/>
      <c r="URH260" s="821"/>
      <c r="URI260" s="821"/>
      <c r="URJ260" s="821"/>
      <c r="URK260" s="821"/>
      <c r="URL260" s="821"/>
      <c r="URM260" s="821"/>
      <c r="URN260" s="821"/>
      <c r="URO260" s="575"/>
      <c r="URP260" s="821"/>
      <c r="URQ260" s="821"/>
      <c r="URR260" s="821"/>
      <c r="URS260" s="821"/>
      <c r="URT260" s="821"/>
      <c r="URU260" s="821"/>
      <c r="URV260" s="821"/>
      <c r="URW260" s="821"/>
      <c r="URX260" s="821"/>
      <c r="URY260" s="821"/>
      <c r="URZ260" s="821"/>
      <c r="USA260" s="821"/>
      <c r="USB260" s="821"/>
      <c r="USC260" s="821"/>
      <c r="USD260" s="821"/>
      <c r="USE260" s="821"/>
      <c r="USF260" s="821"/>
      <c r="USG260" s="821"/>
      <c r="USH260" s="821"/>
      <c r="USI260" s="575"/>
      <c r="USJ260" s="821"/>
      <c r="USK260" s="821"/>
      <c r="USL260" s="821"/>
      <c r="USM260" s="821"/>
      <c r="USN260" s="821"/>
      <c r="USO260" s="821"/>
      <c r="USP260" s="821"/>
      <c r="USQ260" s="821"/>
      <c r="USR260" s="821"/>
      <c r="USS260" s="821"/>
      <c r="UST260" s="821"/>
      <c r="USU260" s="821"/>
      <c r="USV260" s="821"/>
      <c r="USW260" s="821"/>
      <c r="USX260" s="821"/>
      <c r="USY260" s="821"/>
      <c r="USZ260" s="821"/>
      <c r="UTA260" s="821"/>
      <c r="UTB260" s="821"/>
      <c r="UTC260" s="575"/>
      <c r="UTD260" s="821"/>
      <c r="UTE260" s="821"/>
      <c r="UTF260" s="821"/>
      <c r="UTG260" s="821"/>
      <c r="UTH260" s="821"/>
      <c r="UTI260" s="821"/>
      <c r="UTJ260" s="821"/>
      <c r="UTK260" s="821"/>
      <c r="UTL260" s="821"/>
      <c r="UTM260" s="821"/>
      <c r="UTN260" s="821"/>
      <c r="UTO260" s="821"/>
      <c r="UTP260" s="821"/>
      <c r="UTQ260" s="821"/>
      <c r="UTR260" s="821"/>
      <c r="UTS260" s="821"/>
      <c r="UTT260" s="821"/>
      <c r="UTU260" s="821"/>
      <c r="UTV260" s="821"/>
      <c r="UTW260" s="575"/>
      <c r="UTX260" s="821"/>
      <c r="UTY260" s="821"/>
      <c r="UTZ260" s="821"/>
      <c r="UUA260" s="821"/>
      <c r="UUB260" s="821"/>
      <c r="UUC260" s="821"/>
      <c r="UUD260" s="821"/>
      <c r="UUE260" s="821"/>
      <c r="UUF260" s="821"/>
      <c r="UUG260" s="821"/>
      <c r="UUH260" s="821"/>
      <c r="UUI260" s="821"/>
      <c r="UUJ260" s="821"/>
      <c r="UUK260" s="821"/>
      <c r="UUL260" s="821"/>
      <c r="UUM260" s="821"/>
      <c r="UUN260" s="821"/>
      <c r="UUO260" s="821"/>
      <c r="UUP260" s="821"/>
      <c r="UUQ260" s="575"/>
      <c r="UUR260" s="821"/>
      <c r="UUS260" s="821"/>
      <c r="UUT260" s="821"/>
      <c r="UUU260" s="821"/>
      <c r="UUV260" s="821"/>
      <c r="UUW260" s="821"/>
      <c r="UUX260" s="821"/>
      <c r="UUY260" s="821"/>
      <c r="UUZ260" s="821"/>
      <c r="UVA260" s="821"/>
      <c r="UVB260" s="821"/>
      <c r="UVC260" s="821"/>
      <c r="UVD260" s="821"/>
      <c r="UVE260" s="821"/>
      <c r="UVF260" s="821"/>
      <c r="UVG260" s="821"/>
      <c r="UVH260" s="821"/>
      <c r="UVI260" s="821"/>
      <c r="UVJ260" s="821"/>
      <c r="UVK260" s="575"/>
      <c r="UVL260" s="821"/>
      <c r="UVM260" s="821"/>
      <c r="UVN260" s="821"/>
      <c r="UVO260" s="821"/>
      <c r="UVP260" s="821"/>
      <c r="UVQ260" s="821"/>
      <c r="UVR260" s="821"/>
      <c r="UVS260" s="821"/>
      <c r="UVT260" s="821"/>
      <c r="UVU260" s="821"/>
      <c r="UVV260" s="821"/>
      <c r="UVW260" s="821"/>
      <c r="UVX260" s="821"/>
      <c r="UVY260" s="821"/>
      <c r="UVZ260" s="821"/>
      <c r="UWA260" s="821"/>
      <c r="UWB260" s="821"/>
      <c r="UWC260" s="821"/>
      <c r="UWD260" s="821"/>
      <c r="UWE260" s="575"/>
      <c r="UWF260" s="821"/>
      <c r="UWG260" s="821"/>
      <c r="UWH260" s="821"/>
      <c r="UWI260" s="821"/>
      <c r="UWJ260" s="821"/>
      <c r="UWK260" s="821"/>
      <c r="UWL260" s="821"/>
      <c r="UWM260" s="821"/>
      <c r="UWN260" s="821"/>
      <c r="UWO260" s="821"/>
      <c r="UWP260" s="821"/>
      <c r="UWQ260" s="821"/>
      <c r="UWR260" s="821"/>
      <c r="UWS260" s="821"/>
      <c r="UWT260" s="821"/>
      <c r="UWU260" s="821"/>
      <c r="UWV260" s="821"/>
      <c r="UWW260" s="821"/>
      <c r="UWX260" s="821"/>
      <c r="UWY260" s="575"/>
      <c r="UWZ260" s="821"/>
      <c r="UXA260" s="821"/>
      <c r="UXB260" s="821"/>
      <c r="UXC260" s="821"/>
      <c r="UXD260" s="821"/>
      <c r="UXE260" s="821"/>
      <c r="UXF260" s="821"/>
      <c r="UXG260" s="821"/>
      <c r="UXH260" s="821"/>
      <c r="UXI260" s="821"/>
      <c r="UXJ260" s="821"/>
      <c r="UXK260" s="821"/>
      <c r="UXL260" s="821"/>
      <c r="UXM260" s="821"/>
      <c r="UXN260" s="821"/>
      <c r="UXO260" s="821"/>
      <c r="UXP260" s="821"/>
      <c r="UXQ260" s="821"/>
      <c r="UXR260" s="821"/>
      <c r="UXS260" s="575"/>
      <c r="UXT260" s="821"/>
      <c r="UXU260" s="821"/>
      <c r="UXV260" s="821"/>
      <c r="UXW260" s="821"/>
      <c r="UXX260" s="821"/>
      <c r="UXY260" s="821"/>
      <c r="UXZ260" s="821"/>
      <c r="UYA260" s="821"/>
      <c r="UYB260" s="821"/>
      <c r="UYC260" s="821"/>
      <c r="UYD260" s="821"/>
      <c r="UYE260" s="821"/>
      <c r="UYF260" s="821"/>
      <c r="UYG260" s="821"/>
      <c r="UYH260" s="821"/>
      <c r="UYI260" s="821"/>
      <c r="UYJ260" s="821"/>
      <c r="UYK260" s="821"/>
      <c r="UYL260" s="821"/>
      <c r="UYM260" s="575"/>
      <c r="UYN260" s="821"/>
      <c r="UYO260" s="821"/>
      <c r="UYP260" s="821"/>
      <c r="UYQ260" s="821"/>
      <c r="UYR260" s="821"/>
      <c r="UYS260" s="821"/>
      <c r="UYT260" s="821"/>
      <c r="UYU260" s="821"/>
      <c r="UYV260" s="821"/>
      <c r="UYW260" s="821"/>
      <c r="UYX260" s="821"/>
      <c r="UYY260" s="821"/>
      <c r="UYZ260" s="821"/>
      <c r="UZA260" s="821"/>
      <c r="UZB260" s="821"/>
      <c r="UZC260" s="821"/>
      <c r="UZD260" s="821"/>
      <c r="UZE260" s="821"/>
      <c r="UZF260" s="821"/>
      <c r="UZG260" s="575"/>
      <c r="UZH260" s="821"/>
      <c r="UZI260" s="821"/>
      <c r="UZJ260" s="821"/>
      <c r="UZK260" s="821"/>
      <c r="UZL260" s="821"/>
      <c r="UZM260" s="821"/>
      <c r="UZN260" s="821"/>
      <c r="UZO260" s="821"/>
      <c r="UZP260" s="821"/>
      <c r="UZQ260" s="821"/>
      <c r="UZR260" s="821"/>
      <c r="UZS260" s="821"/>
      <c r="UZT260" s="821"/>
      <c r="UZU260" s="821"/>
      <c r="UZV260" s="821"/>
      <c r="UZW260" s="821"/>
      <c r="UZX260" s="821"/>
      <c r="UZY260" s="821"/>
      <c r="UZZ260" s="821"/>
      <c r="VAA260" s="575"/>
      <c r="VAB260" s="821"/>
      <c r="VAC260" s="821"/>
      <c r="VAD260" s="821"/>
      <c r="VAE260" s="821"/>
      <c r="VAF260" s="821"/>
      <c r="VAG260" s="821"/>
      <c r="VAH260" s="821"/>
      <c r="VAI260" s="821"/>
      <c r="VAJ260" s="821"/>
      <c r="VAK260" s="821"/>
      <c r="VAL260" s="821"/>
      <c r="VAM260" s="821"/>
      <c r="VAN260" s="821"/>
      <c r="VAO260" s="821"/>
      <c r="VAP260" s="821"/>
      <c r="VAQ260" s="821"/>
      <c r="VAR260" s="821"/>
      <c r="VAS260" s="821"/>
      <c r="VAT260" s="821"/>
      <c r="VAU260" s="575"/>
      <c r="VAV260" s="821"/>
      <c r="VAW260" s="821"/>
      <c r="VAX260" s="821"/>
      <c r="VAY260" s="821"/>
      <c r="VAZ260" s="821"/>
      <c r="VBA260" s="821"/>
      <c r="VBB260" s="821"/>
      <c r="VBC260" s="821"/>
      <c r="VBD260" s="821"/>
      <c r="VBE260" s="821"/>
      <c r="VBF260" s="821"/>
      <c r="VBG260" s="821"/>
      <c r="VBH260" s="821"/>
      <c r="VBI260" s="821"/>
      <c r="VBJ260" s="821"/>
      <c r="VBK260" s="821"/>
      <c r="VBL260" s="821"/>
      <c r="VBM260" s="821"/>
      <c r="VBN260" s="821"/>
      <c r="VBO260" s="575"/>
      <c r="VBP260" s="821"/>
      <c r="VBQ260" s="821"/>
      <c r="VBR260" s="821"/>
      <c r="VBS260" s="821"/>
      <c r="VBT260" s="821"/>
      <c r="VBU260" s="821"/>
      <c r="VBV260" s="821"/>
      <c r="VBW260" s="821"/>
      <c r="VBX260" s="821"/>
      <c r="VBY260" s="821"/>
      <c r="VBZ260" s="821"/>
      <c r="VCA260" s="821"/>
      <c r="VCB260" s="821"/>
      <c r="VCC260" s="821"/>
      <c r="VCD260" s="821"/>
      <c r="VCE260" s="821"/>
      <c r="VCF260" s="821"/>
      <c r="VCG260" s="821"/>
      <c r="VCH260" s="821"/>
      <c r="VCI260" s="575"/>
      <c r="VCJ260" s="821"/>
      <c r="VCK260" s="821"/>
      <c r="VCL260" s="821"/>
      <c r="VCM260" s="821"/>
      <c r="VCN260" s="821"/>
      <c r="VCO260" s="821"/>
      <c r="VCP260" s="821"/>
      <c r="VCQ260" s="821"/>
      <c r="VCR260" s="821"/>
      <c r="VCS260" s="821"/>
      <c r="VCT260" s="821"/>
      <c r="VCU260" s="821"/>
      <c r="VCV260" s="821"/>
      <c r="VCW260" s="821"/>
      <c r="VCX260" s="821"/>
      <c r="VCY260" s="821"/>
      <c r="VCZ260" s="821"/>
      <c r="VDA260" s="821"/>
      <c r="VDB260" s="821"/>
      <c r="VDC260" s="575"/>
      <c r="VDD260" s="821"/>
      <c r="VDE260" s="821"/>
      <c r="VDF260" s="821"/>
      <c r="VDG260" s="821"/>
      <c r="VDH260" s="821"/>
      <c r="VDI260" s="821"/>
      <c r="VDJ260" s="821"/>
      <c r="VDK260" s="821"/>
      <c r="VDL260" s="821"/>
      <c r="VDM260" s="821"/>
      <c r="VDN260" s="821"/>
      <c r="VDO260" s="821"/>
      <c r="VDP260" s="821"/>
      <c r="VDQ260" s="821"/>
      <c r="VDR260" s="821"/>
      <c r="VDS260" s="821"/>
      <c r="VDT260" s="821"/>
      <c r="VDU260" s="821"/>
      <c r="VDV260" s="821"/>
      <c r="VDW260" s="575"/>
      <c r="VDX260" s="821"/>
      <c r="VDY260" s="821"/>
      <c r="VDZ260" s="821"/>
      <c r="VEA260" s="821"/>
      <c r="VEB260" s="821"/>
      <c r="VEC260" s="821"/>
      <c r="VED260" s="821"/>
      <c r="VEE260" s="821"/>
      <c r="VEF260" s="821"/>
      <c r="VEG260" s="821"/>
      <c r="VEH260" s="821"/>
      <c r="VEI260" s="821"/>
      <c r="VEJ260" s="821"/>
      <c r="VEK260" s="821"/>
      <c r="VEL260" s="821"/>
      <c r="VEM260" s="821"/>
      <c r="VEN260" s="821"/>
      <c r="VEO260" s="821"/>
      <c r="VEP260" s="821"/>
      <c r="VEQ260" s="575"/>
      <c r="VER260" s="821"/>
      <c r="VES260" s="821"/>
      <c r="VET260" s="821"/>
      <c r="VEU260" s="821"/>
      <c r="VEV260" s="821"/>
      <c r="VEW260" s="821"/>
      <c r="VEX260" s="821"/>
      <c r="VEY260" s="821"/>
      <c r="VEZ260" s="821"/>
      <c r="VFA260" s="821"/>
      <c r="VFB260" s="821"/>
      <c r="VFC260" s="821"/>
      <c r="VFD260" s="821"/>
      <c r="VFE260" s="821"/>
      <c r="VFF260" s="821"/>
      <c r="VFG260" s="821"/>
      <c r="VFH260" s="821"/>
      <c r="VFI260" s="821"/>
      <c r="VFJ260" s="821"/>
      <c r="VFK260" s="575"/>
      <c r="VFL260" s="821"/>
      <c r="VFM260" s="821"/>
      <c r="VFN260" s="821"/>
      <c r="VFO260" s="821"/>
      <c r="VFP260" s="821"/>
      <c r="VFQ260" s="821"/>
      <c r="VFR260" s="821"/>
      <c r="VFS260" s="821"/>
      <c r="VFT260" s="821"/>
      <c r="VFU260" s="821"/>
      <c r="VFV260" s="821"/>
      <c r="VFW260" s="821"/>
      <c r="VFX260" s="821"/>
      <c r="VFY260" s="821"/>
      <c r="VFZ260" s="821"/>
      <c r="VGA260" s="821"/>
      <c r="VGB260" s="821"/>
      <c r="VGC260" s="821"/>
      <c r="VGD260" s="821"/>
      <c r="VGE260" s="575"/>
      <c r="VGF260" s="821"/>
      <c r="VGG260" s="821"/>
      <c r="VGH260" s="821"/>
      <c r="VGI260" s="821"/>
      <c r="VGJ260" s="821"/>
      <c r="VGK260" s="821"/>
      <c r="VGL260" s="821"/>
      <c r="VGM260" s="821"/>
      <c r="VGN260" s="821"/>
      <c r="VGO260" s="821"/>
      <c r="VGP260" s="821"/>
      <c r="VGQ260" s="821"/>
      <c r="VGR260" s="821"/>
      <c r="VGS260" s="821"/>
      <c r="VGT260" s="821"/>
      <c r="VGU260" s="821"/>
      <c r="VGV260" s="821"/>
      <c r="VGW260" s="821"/>
      <c r="VGX260" s="821"/>
      <c r="VGY260" s="575"/>
      <c r="VGZ260" s="821"/>
      <c r="VHA260" s="821"/>
      <c r="VHB260" s="821"/>
      <c r="VHC260" s="821"/>
      <c r="VHD260" s="821"/>
      <c r="VHE260" s="821"/>
      <c r="VHF260" s="821"/>
      <c r="VHG260" s="821"/>
      <c r="VHH260" s="821"/>
      <c r="VHI260" s="821"/>
      <c r="VHJ260" s="821"/>
      <c r="VHK260" s="821"/>
      <c r="VHL260" s="821"/>
      <c r="VHM260" s="821"/>
      <c r="VHN260" s="821"/>
      <c r="VHO260" s="821"/>
      <c r="VHP260" s="821"/>
      <c r="VHQ260" s="821"/>
      <c r="VHR260" s="821"/>
      <c r="VHS260" s="575"/>
      <c r="VHT260" s="821"/>
      <c r="VHU260" s="821"/>
      <c r="VHV260" s="821"/>
      <c r="VHW260" s="821"/>
      <c r="VHX260" s="821"/>
      <c r="VHY260" s="821"/>
      <c r="VHZ260" s="821"/>
      <c r="VIA260" s="821"/>
      <c r="VIB260" s="821"/>
      <c r="VIC260" s="821"/>
      <c r="VID260" s="821"/>
      <c r="VIE260" s="821"/>
      <c r="VIF260" s="821"/>
      <c r="VIG260" s="821"/>
      <c r="VIH260" s="821"/>
      <c r="VII260" s="821"/>
      <c r="VIJ260" s="821"/>
      <c r="VIK260" s="821"/>
      <c r="VIL260" s="821"/>
      <c r="VIM260" s="575"/>
      <c r="VIN260" s="821"/>
      <c r="VIO260" s="821"/>
      <c r="VIP260" s="821"/>
      <c r="VIQ260" s="821"/>
      <c r="VIR260" s="821"/>
      <c r="VIS260" s="821"/>
      <c r="VIT260" s="821"/>
      <c r="VIU260" s="821"/>
      <c r="VIV260" s="821"/>
      <c r="VIW260" s="821"/>
      <c r="VIX260" s="821"/>
      <c r="VIY260" s="821"/>
      <c r="VIZ260" s="821"/>
      <c r="VJA260" s="821"/>
      <c r="VJB260" s="821"/>
      <c r="VJC260" s="821"/>
      <c r="VJD260" s="821"/>
      <c r="VJE260" s="821"/>
      <c r="VJF260" s="821"/>
      <c r="VJG260" s="575"/>
      <c r="VJH260" s="821"/>
      <c r="VJI260" s="821"/>
      <c r="VJJ260" s="821"/>
      <c r="VJK260" s="821"/>
      <c r="VJL260" s="821"/>
      <c r="VJM260" s="821"/>
      <c r="VJN260" s="821"/>
      <c r="VJO260" s="821"/>
      <c r="VJP260" s="821"/>
      <c r="VJQ260" s="821"/>
      <c r="VJR260" s="821"/>
      <c r="VJS260" s="821"/>
      <c r="VJT260" s="821"/>
      <c r="VJU260" s="821"/>
      <c r="VJV260" s="821"/>
      <c r="VJW260" s="821"/>
      <c r="VJX260" s="821"/>
      <c r="VJY260" s="821"/>
      <c r="VJZ260" s="821"/>
      <c r="VKA260" s="575"/>
      <c r="VKB260" s="821"/>
      <c r="VKC260" s="821"/>
      <c r="VKD260" s="821"/>
      <c r="VKE260" s="821"/>
      <c r="VKF260" s="821"/>
      <c r="VKG260" s="821"/>
      <c r="VKH260" s="821"/>
      <c r="VKI260" s="821"/>
      <c r="VKJ260" s="821"/>
      <c r="VKK260" s="821"/>
      <c r="VKL260" s="821"/>
      <c r="VKM260" s="821"/>
      <c r="VKN260" s="821"/>
      <c r="VKO260" s="821"/>
      <c r="VKP260" s="821"/>
      <c r="VKQ260" s="821"/>
      <c r="VKR260" s="821"/>
      <c r="VKS260" s="821"/>
      <c r="VKT260" s="821"/>
      <c r="VKU260" s="575"/>
      <c r="VKV260" s="821"/>
      <c r="VKW260" s="821"/>
      <c r="VKX260" s="821"/>
      <c r="VKY260" s="821"/>
      <c r="VKZ260" s="821"/>
      <c r="VLA260" s="821"/>
      <c r="VLB260" s="821"/>
      <c r="VLC260" s="821"/>
      <c r="VLD260" s="821"/>
      <c r="VLE260" s="821"/>
      <c r="VLF260" s="821"/>
      <c r="VLG260" s="821"/>
      <c r="VLH260" s="821"/>
      <c r="VLI260" s="821"/>
      <c r="VLJ260" s="821"/>
      <c r="VLK260" s="821"/>
      <c r="VLL260" s="821"/>
      <c r="VLM260" s="821"/>
      <c r="VLN260" s="821"/>
      <c r="VLO260" s="575"/>
      <c r="VLP260" s="821"/>
      <c r="VLQ260" s="821"/>
      <c r="VLR260" s="821"/>
      <c r="VLS260" s="821"/>
      <c r="VLT260" s="821"/>
      <c r="VLU260" s="821"/>
      <c r="VLV260" s="821"/>
      <c r="VLW260" s="821"/>
      <c r="VLX260" s="821"/>
      <c r="VLY260" s="821"/>
      <c r="VLZ260" s="821"/>
      <c r="VMA260" s="821"/>
      <c r="VMB260" s="821"/>
      <c r="VMC260" s="821"/>
      <c r="VMD260" s="821"/>
      <c r="VME260" s="821"/>
      <c r="VMF260" s="821"/>
      <c r="VMG260" s="821"/>
      <c r="VMH260" s="821"/>
      <c r="VMI260" s="575"/>
      <c r="VMJ260" s="821"/>
      <c r="VMK260" s="821"/>
      <c r="VML260" s="821"/>
      <c r="VMM260" s="821"/>
      <c r="VMN260" s="821"/>
      <c r="VMO260" s="821"/>
      <c r="VMP260" s="821"/>
      <c r="VMQ260" s="821"/>
      <c r="VMR260" s="821"/>
      <c r="VMS260" s="821"/>
      <c r="VMT260" s="821"/>
      <c r="VMU260" s="821"/>
      <c r="VMV260" s="821"/>
      <c r="VMW260" s="821"/>
      <c r="VMX260" s="821"/>
      <c r="VMY260" s="821"/>
      <c r="VMZ260" s="821"/>
      <c r="VNA260" s="821"/>
      <c r="VNB260" s="821"/>
      <c r="VNC260" s="575"/>
      <c r="VND260" s="821"/>
      <c r="VNE260" s="821"/>
      <c r="VNF260" s="821"/>
      <c r="VNG260" s="821"/>
      <c r="VNH260" s="821"/>
      <c r="VNI260" s="821"/>
      <c r="VNJ260" s="821"/>
      <c r="VNK260" s="821"/>
      <c r="VNL260" s="821"/>
      <c r="VNM260" s="821"/>
      <c r="VNN260" s="821"/>
      <c r="VNO260" s="821"/>
      <c r="VNP260" s="821"/>
      <c r="VNQ260" s="821"/>
      <c r="VNR260" s="821"/>
      <c r="VNS260" s="821"/>
      <c r="VNT260" s="821"/>
      <c r="VNU260" s="821"/>
      <c r="VNV260" s="821"/>
      <c r="VNW260" s="575"/>
      <c r="VNX260" s="821"/>
      <c r="VNY260" s="821"/>
      <c r="VNZ260" s="821"/>
      <c r="VOA260" s="821"/>
      <c r="VOB260" s="821"/>
      <c r="VOC260" s="821"/>
      <c r="VOD260" s="821"/>
      <c r="VOE260" s="821"/>
      <c r="VOF260" s="821"/>
      <c r="VOG260" s="821"/>
      <c r="VOH260" s="821"/>
      <c r="VOI260" s="821"/>
      <c r="VOJ260" s="821"/>
      <c r="VOK260" s="821"/>
      <c r="VOL260" s="821"/>
      <c r="VOM260" s="821"/>
      <c r="VON260" s="821"/>
      <c r="VOO260" s="821"/>
      <c r="VOP260" s="821"/>
      <c r="VOQ260" s="575"/>
      <c r="VOR260" s="821"/>
      <c r="VOS260" s="821"/>
      <c r="VOT260" s="821"/>
      <c r="VOU260" s="821"/>
      <c r="VOV260" s="821"/>
      <c r="VOW260" s="821"/>
      <c r="VOX260" s="821"/>
      <c r="VOY260" s="821"/>
      <c r="VOZ260" s="821"/>
      <c r="VPA260" s="821"/>
      <c r="VPB260" s="821"/>
      <c r="VPC260" s="821"/>
      <c r="VPD260" s="821"/>
      <c r="VPE260" s="821"/>
      <c r="VPF260" s="821"/>
      <c r="VPG260" s="821"/>
      <c r="VPH260" s="821"/>
      <c r="VPI260" s="821"/>
      <c r="VPJ260" s="821"/>
      <c r="VPK260" s="575"/>
      <c r="VPL260" s="821"/>
      <c r="VPM260" s="821"/>
      <c r="VPN260" s="821"/>
      <c r="VPO260" s="821"/>
      <c r="VPP260" s="821"/>
      <c r="VPQ260" s="821"/>
      <c r="VPR260" s="821"/>
      <c r="VPS260" s="821"/>
      <c r="VPT260" s="821"/>
      <c r="VPU260" s="821"/>
      <c r="VPV260" s="821"/>
      <c r="VPW260" s="821"/>
      <c r="VPX260" s="821"/>
      <c r="VPY260" s="821"/>
      <c r="VPZ260" s="821"/>
      <c r="VQA260" s="821"/>
      <c r="VQB260" s="821"/>
      <c r="VQC260" s="821"/>
      <c r="VQD260" s="821"/>
      <c r="VQE260" s="575"/>
      <c r="VQF260" s="821"/>
      <c r="VQG260" s="821"/>
      <c r="VQH260" s="821"/>
      <c r="VQI260" s="821"/>
      <c r="VQJ260" s="821"/>
      <c r="VQK260" s="821"/>
      <c r="VQL260" s="821"/>
      <c r="VQM260" s="821"/>
      <c r="VQN260" s="821"/>
      <c r="VQO260" s="821"/>
      <c r="VQP260" s="821"/>
      <c r="VQQ260" s="821"/>
      <c r="VQR260" s="821"/>
      <c r="VQS260" s="821"/>
      <c r="VQT260" s="821"/>
      <c r="VQU260" s="821"/>
      <c r="VQV260" s="821"/>
      <c r="VQW260" s="821"/>
      <c r="VQX260" s="821"/>
      <c r="VQY260" s="575"/>
      <c r="VQZ260" s="821"/>
      <c r="VRA260" s="821"/>
      <c r="VRB260" s="821"/>
      <c r="VRC260" s="821"/>
      <c r="VRD260" s="821"/>
      <c r="VRE260" s="821"/>
      <c r="VRF260" s="821"/>
      <c r="VRG260" s="821"/>
      <c r="VRH260" s="821"/>
      <c r="VRI260" s="821"/>
      <c r="VRJ260" s="821"/>
      <c r="VRK260" s="821"/>
      <c r="VRL260" s="821"/>
      <c r="VRM260" s="821"/>
      <c r="VRN260" s="821"/>
      <c r="VRO260" s="821"/>
      <c r="VRP260" s="821"/>
      <c r="VRQ260" s="821"/>
      <c r="VRR260" s="821"/>
      <c r="VRS260" s="575"/>
      <c r="VRT260" s="821"/>
      <c r="VRU260" s="821"/>
      <c r="VRV260" s="821"/>
      <c r="VRW260" s="821"/>
      <c r="VRX260" s="821"/>
      <c r="VRY260" s="821"/>
      <c r="VRZ260" s="821"/>
      <c r="VSA260" s="821"/>
      <c r="VSB260" s="821"/>
      <c r="VSC260" s="821"/>
      <c r="VSD260" s="821"/>
      <c r="VSE260" s="821"/>
      <c r="VSF260" s="821"/>
      <c r="VSG260" s="821"/>
      <c r="VSH260" s="821"/>
      <c r="VSI260" s="821"/>
      <c r="VSJ260" s="821"/>
      <c r="VSK260" s="821"/>
      <c r="VSL260" s="821"/>
      <c r="VSM260" s="575"/>
      <c r="VSN260" s="821"/>
      <c r="VSO260" s="821"/>
      <c r="VSP260" s="821"/>
      <c r="VSQ260" s="821"/>
      <c r="VSR260" s="821"/>
      <c r="VSS260" s="821"/>
      <c r="VST260" s="821"/>
      <c r="VSU260" s="821"/>
      <c r="VSV260" s="821"/>
      <c r="VSW260" s="821"/>
      <c r="VSX260" s="821"/>
      <c r="VSY260" s="821"/>
      <c r="VSZ260" s="821"/>
      <c r="VTA260" s="821"/>
      <c r="VTB260" s="821"/>
      <c r="VTC260" s="821"/>
      <c r="VTD260" s="821"/>
      <c r="VTE260" s="821"/>
      <c r="VTF260" s="821"/>
      <c r="VTG260" s="575"/>
      <c r="VTH260" s="821"/>
      <c r="VTI260" s="821"/>
      <c r="VTJ260" s="821"/>
      <c r="VTK260" s="821"/>
      <c r="VTL260" s="821"/>
      <c r="VTM260" s="821"/>
      <c r="VTN260" s="821"/>
      <c r="VTO260" s="821"/>
      <c r="VTP260" s="821"/>
      <c r="VTQ260" s="821"/>
      <c r="VTR260" s="821"/>
      <c r="VTS260" s="821"/>
      <c r="VTT260" s="821"/>
      <c r="VTU260" s="821"/>
      <c r="VTV260" s="821"/>
      <c r="VTW260" s="821"/>
      <c r="VTX260" s="821"/>
      <c r="VTY260" s="821"/>
      <c r="VTZ260" s="821"/>
      <c r="VUA260" s="575"/>
      <c r="VUB260" s="821"/>
      <c r="VUC260" s="821"/>
      <c r="VUD260" s="821"/>
      <c r="VUE260" s="821"/>
      <c r="VUF260" s="821"/>
      <c r="VUG260" s="821"/>
      <c r="VUH260" s="821"/>
      <c r="VUI260" s="821"/>
      <c r="VUJ260" s="821"/>
      <c r="VUK260" s="821"/>
      <c r="VUL260" s="821"/>
      <c r="VUM260" s="821"/>
      <c r="VUN260" s="821"/>
      <c r="VUO260" s="821"/>
      <c r="VUP260" s="821"/>
      <c r="VUQ260" s="821"/>
      <c r="VUR260" s="821"/>
      <c r="VUS260" s="821"/>
      <c r="VUT260" s="821"/>
      <c r="VUU260" s="575"/>
      <c r="VUV260" s="821"/>
      <c r="VUW260" s="821"/>
      <c r="VUX260" s="821"/>
      <c r="VUY260" s="821"/>
      <c r="VUZ260" s="821"/>
      <c r="VVA260" s="821"/>
      <c r="VVB260" s="821"/>
      <c r="VVC260" s="821"/>
      <c r="VVD260" s="821"/>
      <c r="VVE260" s="821"/>
      <c r="VVF260" s="821"/>
      <c r="VVG260" s="821"/>
      <c r="VVH260" s="821"/>
      <c r="VVI260" s="821"/>
      <c r="VVJ260" s="821"/>
      <c r="VVK260" s="821"/>
      <c r="VVL260" s="821"/>
      <c r="VVM260" s="821"/>
      <c r="VVN260" s="821"/>
      <c r="VVO260" s="575"/>
      <c r="VVP260" s="821"/>
      <c r="VVQ260" s="821"/>
      <c r="VVR260" s="821"/>
      <c r="VVS260" s="821"/>
      <c r="VVT260" s="821"/>
      <c r="VVU260" s="821"/>
      <c r="VVV260" s="821"/>
      <c r="VVW260" s="821"/>
      <c r="VVX260" s="821"/>
      <c r="VVY260" s="821"/>
      <c r="VVZ260" s="821"/>
      <c r="VWA260" s="821"/>
      <c r="VWB260" s="821"/>
      <c r="VWC260" s="821"/>
      <c r="VWD260" s="821"/>
      <c r="VWE260" s="821"/>
      <c r="VWF260" s="821"/>
      <c r="VWG260" s="821"/>
      <c r="VWH260" s="821"/>
      <c r="VWI260" s="575"/>
      <c r="VWJ260" s="821"/>
      <c r="VWK260" s="821"/>
      <c r="VWL260" s="821"/>
      <c r="VWM260" s="821"/>
      <c r="VWN260" s="821"/>
      <c r="VWO260" s="821"/>
      <c r="VWP260" s="821"/>
      <c r="VWQ260" s="821"/>
      <c r="VWR260" s="821"/>
      <c r="VWS260" s="821"/>
      <c r="VWT260" s="821"/>
      <c r="VWU260" s="821"/>
      <c r="VWV260" s="821"/>
      <c r="VWW260" s="821"/>
      <c r="VWX260" s="821"/>
      <c r="VWY260" s="821"/>
      <c r="VWZ260" s="821"/>
      <c r="VXA260" s="821"/>
      <c r="VXB260" s="821"/>
      <c r="VXC260" s="575"/>
      <c r="VXD260" s="821"/>
      <c r="VXE260" s="821"/>
      <c r="VXF260" s="821"/>
      <c r="VXG260" s="821"/>
      <c r="VXH260" s="821"/>
      <c r="VXI260" s="821"/>
      <c r="VXJ260" s="821"/>
      <c r="VXK260" s="821"/>
      <c r="VXL260" s="821"/>
      <c r="VXM260" s="821"/>
      <c r="VXN260" s="821"/>
      <c r="VXO260" s="821"/>
      <c r="VXP260" s="821"/>
      <c r="VXQ260" s="821"/>
      <c r="VXR260" s="821"/>
      <c r="VXS260" s="821"/>
      <c r="VXT260" s="821"/>
      <c r="VXU260" s="821"/>
      <c r="VXV260" s="821"/>
      <c r="VXW260" s="575"/>
      <c r="VXX260" s="821"/>
      <c r="VXY260" s="821"/>
      <c r="VXZ260" s="821"/>
      <c r="VYA260" s="821"/>
      <c r="VYB260" s="821"/>
      <c r="VYC260" s="821"/>
      <c r="VYD260" s="821"/>
      <c r="VYE260" s="821"/>
      <c r="VYF260" s="821"/>
      <c r="VYG260" s="821"/>
      <c r="VYH260" s="821"/>
      <c r="VYI260" s="821"/>
      <c r="VYJ260" s="821"/>
      <c r="VYK260" s="821"/>
      <c r="VYL260" s="821"/>
      <c r="VYM260" s="821"/>
      <c r="VYN260" s="821"/>
      <c r="VYO260" s="821"/>
      <c r="VYP260" s="821"/>
      <c r="VYQ260" s="575"/>
      <c r="VYR260" s="821"/>
      <c r="VYS260" s="821"/>
      <c r="VYT260" s="821"/>
      <c r="VYU260" s="821"/>
      <c r="VYV260" s="821"/>
      <c r="VYW260" s="821"/>
      <c r="VYX260" s="821"/>
      <c r="VYY260" s="821"/>
      <c r="VYZ260" s="821"/>
      <c r="VZA260" s="821"/>
      <c r="VZB260" s="821"/>
      <c r="VZC260" s="821"/>
      <c r="VZD260" s="821"/>
      <c r="VZE260" s="821"/>
      <c r="VZF260" s="821"/>
      <c r="VZG260" s="821"/>
      <c r="VZH260" s="821"/>
      <c r="VZI260" s="821"/>
      <c r="VZJ260" s="821"/>
      <c r="VZK260" s="575"/>
      <c r="VZL260" s="821"/>
      <c r="VZM260" s="821"/>
      <c r="VZN260" s="821"/>
      <c r="VZO260" s="821"/>
      <c r="VZP260" s="821"/>
      <c r="VZQ260" s="821"/>
      <c r="VZR260" s="821"/>
      <c r="VZS260" s="821"/>
      <c r="VZT260" s="821"/>
      <c r="VZU260" s="821"/>
      <c r="VZV260" s="821"/>
      <c r="VZW260" s="821"/>
      <c r="VZX260" s="821"/>
      <c r="VZY260" s="821"/>
      <c r="VZZ260" s="821"/>
      <c r="WAA260" s="821"/>
      <c r="WAB260" s="821"/>
      <c r="WAC260" s="821"/>
      <c r="WAD260" s="821"/>
      <c r="WAE260" s="575"/>
      <c r="WAF260" s="821"/>
      <c r="WAG260" s="821"/>
      <c r="WAH260" s="821"/>
      <c r="WAI260" s="821"/>
      <c r="WAJ260" s="821"/>
      <c r="WAK260" s="821"/>
      <c r="WAL260" s="821"/>
      <c r="WAM260" s="821"/>
      <c r="WAN260" s="821"/>
      <c r="WAO260" s="821"/>
      <c r="WAP260" s="821"/>
      <c r="WAQ260" s="821"/>
      <c r="WAR260" s="821"/>
      <c r="WAS260" s="821"/>
      <c r="WAT260" s="821"/>
      <c r="WAU260" s="821"/>
      <c r="WAV260" s="821"/>
      <c r="WAW260" s="821"/>
      <c r="WAX260" s="821"/>
      <c r="WAY260" s="575"/>
      <c r="WAZ260" s="821"/>
      <c r="WBA260" s="821"/>
      <c r="WBB260" s="821"/>
      <c r="WBC260" s="821"/>
      <c r="WBD260" s="821"/>
      <c r="WBE260" s="821"/>
      <c r="WBF260" s="821"/>
      <c r="WBG260" s="821"/>
      <c r="WBH260" s="821"/>
      <c r="WBI260" s="821"/>
      <c r="WBJ260" s="821"/>
      <c r="WBK260" s="821"/>
      <c r="WBL260" s="821"/>
      <c r="WBM260" s="821"/>
      <c r="WBN260" s="821"/>
      <c r="WBO260" s="821"/>
      <c r="WBP260" s="821"/>
      <c r="WBQ260" s="821"/>
      <c r="WBR260" s="821"/>
      <c r="WBS260" s="575"/>
      <c r="WBT260" s="821"/>
      <c r="WBU260" s="821"/>
      <c r="WBV260" s="821"/>
      <c r="WBW260" s="821"/>
      <c r="WBX260" s="821"/>
      <c r="WBY260" s="821"/>
      <c r="WBZ260" s="821"/>
      <c r="WCA260" s="821"/>
      <c r="WCB260" s="821"/>
      <c r="WCC260" s="821"/>
      <c r="WCD260" s="821"/>
      <c r="WCE260" s="821"/>
      <c r="WCF260" s="821"/>
      <c r="WCG260" s="821"/>
      <c r="WCH260" s="821"/>
      <c r="WCI260" s="821"/>
      <c r="WCJ260" s="821"/>
      <c r="WCK260" s="821"/>
      <c r="WCL260" s="821"/>
      <c r="WCM260" s="575"/>
      <c r="WCN260" s="821"/>
      <c r="WCO260" s="821"/>
      <c r="WCP260" s="821"/>
      <c r="WCQ260" s="821"/>
      <c r="WCR260" s="821"/>
      <c r="WCS260" s="821"/>
      <c r="WCT260" s="821"/>
      <c r="WCU260" s="821"/>
      <c r="WCV260" s="821"/>
      <c r="WCW260" s="821"/>
      <c r="WCX260" s="821"/>
      <c r="WCY260" s="821"/>
      <c r="WCZ260" s="821"/>
      <c r="WDA260" s="821"/>
      <c r="WDB260" s="821"/>
      <c r="WDC260" s="821"/>
      <c r="WDD260" s="821"/>
      <c r="WDE260" s="821"/>
      <c r="WDF260" s="821"/>
      <c r="WDG260" s="575"/>
      <c r="WDH260" s="821"/>
      <c r="WDI260" s="821"/>
      <c r="WDJ260" s="821"/>
      <c r="WDK260" s="821"/>
      <c r="WDL260" s="821"/>
      <c r="WDM260" s="821"/>
      <c r="WDN260" s="821"/>
      <c r="WDO260" s="821"/>
      <c r="WDP260" s="821"/>
      <c r="WDQ260" s="821"/>
      <c r="WDR260" s="821"/>
      <c r="WDS260" s="821"/>
      <c r="WDT260" s="821"/>
      <c r="WDU260" s="821"/>
      <c r="WDV260" s="821"/>
      <c r="WDW260" s="821"/>
      <c r="WDX260" s="821"/>
      <c r="WDY260" s="821"/>
      <c r="WDZ260" s="821"/>
      <c r="WEA260" s="575"/>
      <c r="WEB260" s="821"/>
      <c r="WEC260" s="821"/>
      <c r="WED260" s="821"/>
      <c r="WEE260" s="821"/>
      <c r="WEF260" s="821"/>
      <c r="WEG260" s="821"/>
      <c r="WEH260" s="821"/>
      <c r="WEI260" s="821"/>
      <c r="WEJ260" s="821"/>
      <c r="WEK260" s="821"/>
      <c r="WEL260" s="821"/>
      <c r="WEM260" s="821"/>
      <c r="WEN260" s="821"/>
      <c r="WEO260" s="821"/>
      <c r="WEP260" s="821"/>
      <c r="WEQ260" s="821"/>
      <c r="WER260" s="821"/>
      <c r="WES260" s="821"/>
      <c r="WET260" s="821"/>
      <c r="WEU260" s="575"/>
      <c r="WEV260" s="821"/>
      <c r="WEW260" s="821"/>
      <c r="WEX260" s="821"/>
      <c r="WEY260" s="821"/>
      <c r="WEZ260" s="821"/>
      <c r="WFA260" s="821"/>
      <c r="WFB260" s="821"/>
      <c r="WFC260" s="821"/>
      <c r="WFD260" s="821"/>
      <c r="WFE260" s="821"/>
      <c r="WFF260" s="821"/>
      <c r="WFG260" s="821"/>
      <c r="WFH260" s="821"/>
      <c r="WFI260" s="821"/>
      <c r="WFJ260" s="821"/>
      <c r="WFK260" s="821"/>
      <c r="WFL260" s="821"/>
      <c r="WFM260" s="821"/>
      <c r="WFN260" s="821"/>
      <c r="WFO260" s="575"/>
      <c r="WFP260" s="821"/>
      <c r="WFQ260" s="821"/>
      <c r="WFR260" s="821"/>
      <c r="WFS260" s="821"/>
      <c r="WFT260" s="821"/>
      <c r="WFU260" s="821"/>
      <c r="WFV260" s="821"/>
      <c r="WFW260" s="821"/>
      <c r="WFX260" s="821"/>
      <c r="WFY260" s="821"/>
      <c r="WFZ260" s="821"/>
      <c r="WGA260" s="821"/>
      <c r="WGB260" s="821"/>
      <c r="WGC260" s="821"/>
      <c r="WGD260" s="821"/>
      <c r="WGE260" s="821"/>
      <c r="WGF260" s="821"/>
      <c r="WGG260" s="821"/>
      <c r="WGH260" s="821"/>
      <c r="WGI260" s="575"/>
      <c r="WGJ260" s="821"/>
      <c r="WGK260" s="821"/>
      <c r="WGL260" s="821"/>
      <c r="WGM260" s="821"/>
      <c r="WGN260" s="821"/>
      <c r="WGO260" s="821"/>
      <c r="WGP260" s="821"/>
      <c r="WGQ260" s="821"/>
      <c r="WGR260" s="821"/>
      <c r="WGS260" s="821"/>
      <c r="WGT260" s="821"/>
      <c r="WGU260" s="821"/>
      <c r="WGV260" s="821"/>
      <c r="WGW260" s="821"/>
      <c r="WGX260" s="821"/>
      <c r="WGY260" s="821"/>
      <c r="WGZ260" s="821"/>
      <c r="WHA260" s="821"/>
      <c r="WHB260" s="821"/>
      <c r="WHC260" s="575"/>
      <c r="WHD260" s="821"/>
      <c r="WHE260" s="821"/>
      <c r="WHF260" s="821"/>
      <c r="WHG260" s="821"/>
      <c r="WHH260" s="821"/>
      <c r="WHI260" s="821"/>
      <c r="WHJ260" s="821"/>
      <c r="WHK260" s="821"/>
      <c r="WHL260" s="821"/>
      <c r="WHM260" s="821"/>
      <c r="WHN260" s="821"/>
      <c r="WHO260" s="821"/>
      <c r="WHP260" s="821"/>
      <c r="WHQ260" s="821"/>
      <c r="WHR260" s="821"/>
      <c r="WHS260" s="821"/>
      <c r="WHT260" s="821"/>
      <c r="WHU260" s="821"/>
      <c r="WHV260" s="821"/>
      <c r="WHW260" s="575"/>
      <c r="WHX260" s="821"/>
      <c r="WHY260" s="821"/>
      <c r="WHZ260" s="821"/>
      <c r="WIA260" s="821"/>
      <c r="WIB260" s="821"/>
      <c r="WIC260" s="821"/>
      <c r="WID260" s="821"/>
      <c r="WIE260" s="821"/>
      <c r="WIF260" s="821"/>
      <c r="WIG260" s="821"/>
      <c r="WIH260" s="821"/>
      <c r="WII260" s="821"/>
      <c r="WIJ260" s="821"/>
      <c r="WIK260" s="821"/>
      <c r="WIL260" s="821"/>
      <c r="WIM260" s="821"/>
      <c r="WIN260" s="821"/>
      <c r="WIO260" s="821"/>
      <c r="WIP260" s="821"/>
      <c r="WIQ260" s="575"/>
      <c r="WIR260" s="821"/>
      <c r="WIS260" s="821"/>
      <c r="WIT260" s="821"/>
      <c r="WIU260" s="821"/>
      <c r="WIV260" s="821"/>
      <c r="WIW260" s="821"/>
      <c r="WIX260" s="821"/>
      <c r="WIY260" s="821"/>
      <c r="WIZ260" s="821"/>
      <c r="WJA260" s="821"/>
      <c r="WJB260" s="821"/>
      <c r="WJC260" s="821"/>
      <c r="WJD260" s="821"/>
      <c r="WJE260" s="821"/>
      <c r="WJF260" s="821"/>
      <c r="WJG260" s="821"/>
      <c r="WJH260" s="821"/>
      <c r="WJI260" s="821"/>
      <c r="WJJ260" s="821"/>
      <c r="WJK260" s="575"/>
      <c r="WJL260" s="821"/>
      <c r="WJM260" s="821"/>
      <c r="WJN260" s="821"/>
      <c r="WJO260" s="821"/>
      <c r="WJP260" s="821"/>
      <c r="WJQ260" s="821"/>
      <c r="WJR260" s="821"/>
      <c r="WJS260" s="821"/>
      <c r="WJT260" s="821"/>
      <c r="WJU260" s="821"/>
      <c r="WJV260" s="821"/>
      <c r="WJW260" s="821"/>
      <c r="WJX260" s="821"/>
      <c r="WJY260" s="821"/>
      <c r="WJZ260" s="821"/>
      <c r="WKA260" s="821"/>
      <c r="WKB260" s="821"/>
      <c r="WKC260" s="821"/>
      <c r="WKD260" s="821"/>
      <c r="WKE260" s="575"/>
      <c r="WKF260" s="821"/>
      <c r="WKG260" s="821"/>
      <c r="WKH260" s="821"/>
      <c r="WKI260" s="821"/>
      <c r="WKJ260" s="821"/>
      <c r="WKK260" s="821"/>
      <c r="WKL260" s="821"/>
      <c r="WKM260" s="821"/>
      <c r="WKN260" s="821"/>
      <c r="WKO260" s="821"/>
      <c r="WKP260" s="821"/>
      <c r="WKQ260" s="821"/>
      <c r="WKR260" s="821"/>
      <c r="WKS260" s="821"/>
      <c r="WKT260" s="821"/>
      <c r="WKU260" s="821"/>
      <c r="WKV260" s="821"/>
      <c r="WKW260" s="821"/>
      <c r="WKX260" s="821"/>
      <c r="WKY260" s="575"/>
      <c r="WKZ260" s="821"/>
      <c r="WLA260" s="821"/>
      <c r="WLB260" s="821"/>
      <c r="WLC260" s="821"/>
      <c r="WLD260" s="821"/>
      <c r="WLE260" s="821"/>
      <c r="WLF260" s="821"/>
      <c r="WLG260" s="821"/>
      <c r="WLH260" s="821"/>
      <c r="WLI260" s="821"/>
      <c r="WLJ260" s="821"/>
      <c r="WLK260" s="821"/>
      <c r="WLL260" s="821"/>
      <c r="WLM260" s="821"/>
      <c r="WLN260" s="821"/>
      <c r="WLO260" s="821"/>
      <c r="WLP260" s="821"/>
      <c r="WLQ260" s="821"/>
      <c r="WLR260" s="821"/>
      <c r="WLS260" s="575"/>
      <c r="WLT260" s="821"/>
      <c r="WLU260" s="821"/>
      <c r="WLV260" s="821"/>
      <c r="WLW260" s="821"/>
      <c r="WLX260" s="821"/>
      <c r="WLY260" s="821"/>
      <c r="WLZ260" s="821"/>
      <c r="WMA260" s="821"/>
      <c r="WMB260" s="821"/>
      <c r="WMC260" s="821"/>
      <c r="WMD260" s="821"/>
      <c r="WME260" s="821"/>
      <c r="WMF260" s="821"/>
      <c r="WMG260" s="821"/>
      <c r="WMH260" s="821"/>
      <c r="WMI260" s="821"/>
      <c r="WMJ260" s="821"/>
      <c r="WMK260" s="821"/>
      <c r="WML260" s="821"/>
      <c r="WMM260" s="575"/>
      <c r="WMN260" s="821"/>
      <c r="WMO260" s="821"/>
      <c r="WMP260" s="821"/>
      <c r="WMQ260" s="821"/>
      <c r="WMR260" s="821"/>
      <c r="WMS260" s="821"/>
      <c r="WMT260" s="821"/>
      <c r="WMU260" s="821"/>
      <c r="WMV260" s="821"/>
      <c r="WMW260" s="821"/>
      <c r="WMX260" s="821"/>
      <c r="WMY260" s="821"/>
      <c r="WMZ260" s="821"/>
      <c r="WNA260" s="821"/>
      <c r="WNB260" s="821"/>
      <c r="WNC260" s="821"/>
      <c r="WND260" s="821"/>
      <c r="WNE260" s="821"/>
      <c r="WNF260" s="821"/>
      <c r="WNG260" s="575"/>
      <c r="WNH260" s="821"/>
      <c r="WNI260" s="821"/>
      <c r="WNJ260" s="821"/>
      <c r="WNK260" s="821"/>
      <c r="WNL260" s="821"/>
      <c r="WNM260" s="821"/>
      <c r="WNN260" s="821"/>
      <c r="WNO260" s="821"/>
      <c r="WNP260" s="821"/>
      <c r="WNQ260" s="821"/>
      <c r="WNR260" s="821"/>
      <c r="WNS260" s="821"/>
      <c r="WNT260" s="821"/>
      <c r="WNU260" s="821"/>
      <c r="WNV260" s="821"/>
      <c r="WNW260" s="821"/>
      <c r="WNX260" s="821"/>
      <c r="WNY260" s="821"/>
      <c r="WNZ260" s="821"/>
      <c r="WOA260" s="575"/>
      <c r="WOB260" s="821"/>
      <c r="WOC260" s="821"/>
      <c r="WOD260" s="821"/>
      <c r="WOE260" s="821"/>
      <c r="WOF260" s="821"/>
      <c r="WOG260" s="821"/>
      <c r="WOH260" s="821"/>
      <c r="WOI260" s="821"/>
      <c r="WOJ260" s="821"/>
      <c r="WOK260" s="821"/>
      <c r="WOL260" s="821"/>
      <c r="WOM260" s="821"/>
      <c r="WON260" s="821"/>
      <c r="WOO260" s="821"/>
      <c r="WOP260" s="821"/>
      <c r="WOQ260" s="821"/>
      <c r="WOR260" s="821"/>
      <c r="WOS260" s="821"/>
      <c r="WOT260" s="821"/>
      <c r="WOU260" s="575"/>
      <c r="WOV260" s="821"/>
      <c r="WOW260" s="821"/>
      <c r="WOX260" s="821"/>
      <c r="WOY260" s="821"/>
      <c r="WOZ260" s="821"/>
      <c r="WPA260" s="821"/>
      <c r="WPB260" s="821"/>
      <c r="WPC260" s="821"/>
      <c r="WPD260" s="821"/>
      <c r="WPE260" s="821"/>
      <c r="WPF260" s="821"/>
      <c r="WPG260" s="821"/>
      <c r="WPH260" s="821"/>
      <c r="WPI260" s="821"/>
      <c r="WPJ260" s="821"/>
      <c r="WPK260" s="821"/>
      <c r="WPL260" s="821"/>
      <c r="WPM260" s="821"/>
      <c r="WPN260" s="821"/>
      <c r="WPO260" s="575"/>
      <c r="WPP260" s="821"/>
      <c r="WPQ260" s="821"/>
      <c r="WPR260" s="821"/>
      <c r="WPS260" s="821"/>
      <c r="WPT260" s="821"/>
      <c r="WPU260" s="821"/>
      <c r="WPV260" s="821"/>
      <c r="WPW260" s="821"/>
      <c r="WPX260" s="821"/>
      <c r="WPY260" s="821"/>
      <c r="WPZ260" s="821"/>
      <c r="WQA260" s="821"/>
      <c r="WQB260" s="821"/>
      <c r="WQC260" s="821"/>
      <c r="WQD260" s="821"/>
      <c r="WQE260" s="821"/>
      <c r="WQF260" s="821"/>
      <c r="WQG260" s="821"/>
      <c r="WQH260" s="821"/>
      <c r="WQI260" s="575"/>
      <c r="WQJ260" s="821"/>
      <c r="WQK260" s="821"/>
      <c r="WQL260" s="821"/>
      <c r="WQM260" s="821"/>
      <c r="WQN260" s="821"/>
      <c r="WQO260" s="821"/>
      <c r="WQP260" s="821"/>
      <c r="WQQ260" s="821"/>
      <c r="WQR260" s="821"/>
      <c r="WQS260" s="821"/>
      <c r="WQT260" s="821"/>
      <c r="WQU260" s="821"/>
      <c r="WQV260" s="821"/>
      <c r="WQW260" s="821"/>
      <c r="WQX260" s="821"/>
      <c r="WQY260" s="821"/>
      <c r="WQZ260" s="821"/>
      <c r="WRA260" s="821"/>
      <c r="WRB260" s="821"/>
      <c r="WRC260" s="575"/>
      <c r="WRD260" s="821"/>
      <c r="WRE260" s="821"/>
      <c r="WRF260" s="821"/>
      <c r="WRG260" s="821"/>
      <c r="WRH260" s="821"/>
      <c r="WRI260" s="821"/>
      <c r="WRJ260" s="821"/>
      <c r="WRK260" s="821"/>
      <c r="WRL260" s="821"/>
      <c r="WRM260" s="821"/>
      <c r="WRN260" s="821"/>
      <c r="WRO260" s="821"/>
      <c r="WRP260" s="821"/>
      <c r="WRQ260" s="821"/>
      <c r="WRR260" s="821"/>
      <c r="WRS260" s="821"/>
      <c r="WRT260" s="821"/>
      <c r="WRU260" s="821"/>
      <c r="WRV260" s="821"/>
      <c r="WRW260" s="575"/>
      <c r="WRX260" s="821"/>
      <c r="WRY260" s="821"/>
      <c r="WRZ260" s="821"/>
      <c r="WSA260" s="821"/>
      <c r="WSB260" s="821"/>
      <c r="WSC260" s="821"/>
      <c r="WSD260" s="821"/>
      <c r="WSE260" s="821"/>
      <c r="WSF260" s="821"/>
      <c r="WSG260" s="821"/>
      <c r="WSH260" s="821"/>
      <c r="WSI260" s="821"/>
      <c r="WSJ260" s="821"/>
      <c r="WSK260" s="821"/>
      <c r="WSL260" s="821"/>
      <c r="WSM260" s="821"/>
      <c r="WSN260" s="821"/>
      <c r="WSO260" s="821"/>
      <c r="WSP260" s="821"/>
      <c r="WSQ260" s="575"/>
      <c r="WSR260" s="821"/>
      <c r="WSS260" s="821"/>
      <c r="WST260" s="821"/>
      <c r="WSU260" s="821"/>
      <c r="WSV260" s="821"/>
      <c r="WSW260" s="821"/>
      <c r="WSX260" s="821"/>
      <c r="WSY260" s="821"/>
      <c r="WSZ260" s="821"/>
      <c r="WTA260" s="821"/>
      <c r="WTB260" s="821"/>
      <c r="WTC260" s="821"/>
      <c r="WTD260" s="821"/>
      <c r="WTE260" s="821"/>
      <c r="WTF260" s="821"/>
      <c r="WTG260" s="821"/>
      <c r="WTH260" s="821"/>
      <c r="WTI260" s="821"/>
      <c r="WTJ260" s="821"/>
      <c r="WTK260" s="575"/>
      <c r="WTL260" s="821"/>
      <c r="WTM260" s="821"/>
      <c r="WTN260" s="821"/>
      <c r="WTO260" s="821"/>
      <c r="WTP260" s="821"/>
      <c r="WTQ260" s="821"/>
      <c r="WTR260" s="821"/>
      <c r="WTS260" s="821"/>
      <c r="WTT260" s="821"/>
      <c r="WTU260" s="821"/>
      <c r="WTV260" s="821"/>
      <c r="WTW260" s="821"/>
      <c r="WTX260" s="821"/>
      <c r="WTY260" s="821"/>
      <c r="WTZ260" s="821"/>
      <c r="WUA260" s="821"/>
      <c r="WUB260" s="821"/>
      <c r="WUC260" s="821"/>
      <c r="WUD260" s="821"/>
      <c r="WUE260" s="575"/>
      <c r="WUF260" s="821"/>
      <c r="WUG260" s="821"/>
      <c r="WUH260" s="821"/>
      <c r="WUI260" s="821"/>
      <c r="WUJ260" s="821"/>
      <c r="WUK260" s="821"/>
      <c r="WUL260" s="821"/>
      <c r="WUM260" s="821"/>
      <c r="WUN260" s="821"/>
      <c r="WUO260" s="821"/>
      <c r="WUP260" s="821"/>
      <c r="WUQ260" s="821"/>
      <c r="WUR260" s="821"/>
      <c r="WUS260" s="821"/>
      <c r="WUT260" s="821"/>
      <c r="WUU260" s="821"/>
      <c r="WUV260" s="821"/>
      <c r="WUW260" s="821"/>
      <c r="WUX260" s="821"/>
      <c r="WUY260" s="575"/>
      <c r="WUZ260" s="821"/>
      <c r="WVA260" s="821"/>
      <c r="WVB260" s="821"/>
      <c r="WVC260" s="821"/>
      <c r="WVD260" s="821"/>
      <c r="WVE260" s="821"/>
      <c r="WVF260" s="821"/>
      <c r="WVG260" s="821"/>
      <c r="WVH260" s="821"/>
      <c r="WVI260" s="821"/>
      <c r="WVJ260" s="821"/>
      <c r="WVK260" s="821"/>
      <c r="WVL260" s="821"/>
      <c r="WVM260" s="821"/>
      <c r="WVN260" s="821"/>
      <c r="WVO260" s="821"/>
      <c r="WVP260" s="821"/>
      <c r="WVQ260" s="821"/>
      <c r="WVR260" s="821"/>
      <c r="WVS260" s="575"/>
      <c r="WVT260" s="821"/>
      <c r="WVU260" s="821"/>
      <c r="WVV260" s="821"/>
      <c r="WVW260" s="821"/>
      <c r="WVX260" s="821"/>
      <c r="WVY260" s="821"/>
      <c r="WVZ260" s="821"/>
      <c r="WWA260" s="821"/>
      <c r="WWB260" s="821"/>
      <c r="WWC260" s="821"/>
      <c r="WWD260" s="821"/>
      <c r="WWE260" s="821"/>
      <c r="WWF260" s="821"/>
      <c r="WWG260" s="821"/>
      <c r="WWH260" s="821"/>
      <c r="WWI260" s="821"/>
      <c r="WWJ260" s="821"/>
      <c r="WWK260" s="821"/>
      <c r="WWL260" s="821"/>
      <c r="WWM260" s="575"/>
      <c r="WWN260" s="821"/>
      <c r="WWO260" s="821"/>
      <c r="WWP260" s="821"/>
      <c r="WWQ260" s="821"/>
      <c r="WWR260" s="821"/>
      <c r="WWS260" s="821"/>
      <c r="WWT260" s="821"/>
      <c r="WWU260" s="821"/>
      <c r="WWV260" s="821"/>
      <c r="WWW260" s="821"/>
      <c r="WWX260" s="821"/>
      <c r="WWY260" s="821"/>
      <c r="WWZ260" s="821"/>
      <c r="WXA260" s="821"/>
      <c r="WXB260" s="821"/>
      <c r="WXC260" s="821"/>
      <c r="WXD260" s="821"/>
      <c r="WXE260" s="821"/>
      <c r="WXF260" s="821"/>
      <c r="WXG260" s="575"/>
      <c r="WXH260" s="821"/>
      <c r="WXI260" s="821"/>
      <c r="WXJ260" s="821"/>
      <c r="WXK260" s="821"/>
      <c r="WXL260" s="821"/>
      <c r="WXM260" s="821"/>
      <c r="WXN260" s="821"/>
      <c r="WXO260" s="821"/>
      <c r="WXP260" s="821"/>
      <c r="WXQ260" s="821"/>
      <c r="WXR260" s="821"/>
      <c r="WXS260" s="821"/>
      <c r="WXT260" s="821"/>
      <c r="WXU260" s="821"/>
      <c r="WXV260" s="821"/>
      <c r="WXW260" s="821"/>
      <c r="WXX260" s="821"/>
      <c r="WXY260" s="821"/>
      <c r="WXZ260" s="821"/>
      <c r="WYA260" s="575"/>
      <c r="WYB260" s="821"/>
      <c r="WYC260" s="821"/>
      <c r="WYD260" s="821"/>
      <c r="WYE260" s="821"/>
      <c r="WYF260" s="821"/>
      <c r="WYG260" s="821"/>
      <c r="WYH260" s="821"/>
      <c r="WYI260" s="821"/>
      <c r="WYJ260" s="821"/>
      <c r="WYK260" s="821"/>
      <c r="WYL260" s="821"/>
      <c r="WYM260" s="821"/>
      <c r="WYN260" s="821"/>
      <c r="WYO260" s="821"/>
      <c r="WYP260" s="821"/>
      <c r="WYQ260" s="821"/>
      <c r="WYR260" s="821"/>
      <c r="WYS260" s="821"/>
      <c r="WYT260" s="821"/>
      <c r="WYU260" s="575"/>
      <c r="WYV260" s="821"/>
      <c r="WYW260" s="821"/>
      <c r="WYX260" s="821"/>
      <c r="WYY260" s="821"/>
      <c r="WYZ260" s="821"/>
      <c r="WZA260" s="821"/>
      <c r="WZB260" s="821"/>
      <c r="WZC260" s="821"/>
      <c r="WZD260" s="821"/>
      <c r="WZE260" s="821"/>
      <c r="WZF260" s="821"/>
      <c r="WZG260" s="821"/>
      <c r="WZH260" s="821"/>
      <c r="WZI260" s="821"/>
      <c r="WZJ260" s="821"/>
      <c r="WZK260" s="821"/>
      <c r="WZL260" s="821"/>
      <c r="WZM260" s="821"/>
      <c r="WZN260" s="821"/>
      <c r="WZO260" s="575"/>
      <c r="WZP260" s="821"/>
      <c r="WZQ260" s="821"/>
      <c r="WZR260" s="821"/>
      <c r="WZS260" s="821"/>
      <c r="WZT260" s="821"/>
      <c r="WZU260" s="821"/>
      <c r="WZV260" s="821"/>
      <c r="WZW260" s="821"/>
      <c r="WZX260" s="821"/>
      <c r="WZY260" s="821"/>
      <c r="WZZ260" s="821"/>
      <c r="XAA260" s="821"/>
      <c r="XAB260" s="821"/>
      <c r="XAC260" s="821"/>
      <c r="XAD260" s="821"/>
      <c r="XAE260" s="821"/>
      <c r="XAF260" s="821"/>
      <c r="XAG260" s="821"/>
      <c r="XAH260" s="821"/>
      <c r="XAI260" s="575"/>
      <c r="XAJ260" s="821"/>
      <c r="XAK260" s="821"/>
      <c r="XAL260" s="821"/>
      <c r="XAM260" s="821"/>
      <c r="XAN260" s="821"/>
      <c r="XAO260" s="821"/>
      <c r="XAP260" s="821"/>
      <c r="XAQ260" s="821"/>
      <c r="XAR260" s="821"/>
      <c r="XAS260" s="821"/>
      <c r="XAT260" s="821"/>
      <c r="XAU260" s="821"/>
      <c r="XAV260" s="821"/>
      <c r="XAW260" s="821"/>
      <c r="XAX260" s="821"/>
      <c r="XAY260" s="821"/>
      <c r="XAZ260" s="821"/>
      <c r="XBA260" s="821"/>
      <c r="XBB260" s="821"/>
      <c r="XBC260" s="575"/>
      <c r="XBD260" s="821"/>
      <c r="XBE260" s="821"/>
      <c r="XBF260" s="821"/>
      <c r="XBG260" s="821"/>
      <c r="XBH260" s="821"/>
      <c r="XBI260" s="821"/>
      <c r="XBJ260" s="821"/>
      <c r="XBK260" s="821"/>
      <c r="XBL260" s="821"/>
      <c r="XBM260" s="821"/>
      <c r="XBN260" s="821"/>
      <c r="XBO260" s="821"/>
      <c r="XBP260" s="821"/>
      <c r="XBQ260" s="821"/>
      <c r="XBR260" s="821"/>
      <c r="XBS260" s="821"/>
      <c r="XBT260" s="821"/>
      <c r="XBU260" s="821"/>
      <c r="XBV260" s="821"/>
      <c r="XBW260" s="575"/>
      <c r="XBX260" s="821"/>
      <c r="XBY260" s="821"/>
      <c r="XBZ260" s="821"/>
      <c r="XCA260" s="821"/>
      <c r="XCB260" s="821"/>
      <c r="XCC260" s="821"/>
      <c r="XCD260" s="821"/>
      <c r="XCE260" s="821"/>
      <c r="XCF260" s="821"/>
      <c r="XCG260" s="821"/>
      <c r="XCH260" s="821"/>
      <c r="XCI260" s="821"/>
      <c r="XCJ260" s="821"/>
      <c r="XCK260" s="821"/>
      <c r="XCL260" s="821"/>
      <c r="XCM260" s="821"/>
      <c r="XCN260" s="821"/>
      <c r="XCO260" s="821"/>
      <c r="XCP260" s="821"/>
      <c r="XCQ260" s="575"/>
      <c r="XCR260" s="821"/>
      <c r="XCS260" s="821"/>
      <c r="XCT260" s="821"/>
      <c r="XCU260" s="821"/>
      <c r="XCV260" s="821"/>
      <c r="XCW260" s="821"/>
      <c r="XCX260" s="821"/>
      <c r="XCY260" s="821"/>
      <c r="XCZ260" s="821"/>
      <c r="XDA260" s="821"/>
      <c r="XDB260" s="821"/>
      <c r="XDC260" s="821"/>
      <c r="XDD260" s="821"/>
      <c r="XDE260" s="821"/>
      <c r="XDF260" s="821"/>
      <c r="XDG260" s="821"/>
      <c r="XDH260" s="821"/>
      <c r="XDI260" s="821"/>
      <c r="XDJ260" s="821"/>
      <c r="XDK260" s="575"/>
      <c r="XDL260" s="821"/>
      <c r="XDM260" s="821"/>
      <c r="XDN260" s="821"/>
      <c r="XDO260" s="821"/>
      <c r="XDP260" s="821"/>
      <c r="XDQ260" s="821"/>
      <c r="XDR260" s="821"/>
      <c r="XDS260" s="821"/>
      <c r="XDT260" s="821"/>
      <c r="XDU260" s="821"/>
      <c r="XDV260" s="821"/>
      <c r="XDW260" s="821"/>
      <c r="XDX260" s="821"/>
      <c r="XDY260" s="821"/>
      <c r="XDZ260" s="821"/>
      <c r="XEA260" s="821"/>
      <c r="XEB260" s="821"/>
      <c r="XEC260" s="821"/>
      <c r="XED260" s="821"/>
      <c r="XEE260" s="575"/>
      <c r="XEF260" s="821"/>
      <c r="XEG260" s="821"/>
      <c r="XEH260" s="821"/>
      <c r="XEI260" s="821"/>
      <c r="XEJ260" s="821"/>
      <c r="XEK260" s="821"/>
      <c r="XEL260" s="821"/>
      <c r="XEM260" s="821"/>
      <c r="XEN260" s="821"/>
      <c r="XEO260" s="821"/>
      <c r="XEP260" s="821"/>
      <c r="XEQ260" s="821"/>
      <c r="XER260" s="821"/>
    </row>
    <row r="261" spans="1:16372" s="137" customFormat="1" ht="22.5" customHeight="1" thickTop="1" thickBot="1">
      <c r="A261" s="401" t="s">
        <v>835</v>
      </c>
      <c r="B261" s="821" t="s">
        <v>852</v>
      </c>
      <c r="C261" s="821" t="s">
        <v>934</v>
      </c>
      <c r="D261" s="821" t="s">
        <v>839</v>
      </c>
      <c r="E261" s="821" t="s">
        <v>852</v>
      </c>
      <c r="F261" s="821"/>
      <c r="G261" s="821"/>
      <c r="H261" s="399"/>
      <c r="I261" s="399"/>
      <c r="J261" s="575" t="s">
        <v>1205</v>
      </c>
      <c r="K261" s="409"/>
      <c r="L261" s="409"/>
      <c r="M261" s="409"/>
      <c r="N261" s="409">
        <f t="shared" si="93"/>
        <v>0</v>
      </c>
      <c r="O261" s="409"/>
      <c r="P261" s="409"/>
      <c r="Q261" s="409"/>
      <c r="R261" s="409"/>
      <c r="S261" s="409"/>
      <c r="T261" s="409"/>
      <c r="U261" s="909">
        <v>0</v>
      </c>
      <c r="V261" s="821"/>
      <c r="W261" s="821"/>
      <c r="X261" s="821"/>
      <c r="Y261" s="571" t="s">
        <v>838</v>
      </c>
    </row>
    <row r="262" spans="1:16372" ht="22.5" customHeight="1" thickTop="1" thickBot="1">
      <c r="A262" s="401" t="s">
        <v>835</v>
      </c>
      <c r="B262" s="821" t="s">
        <v>852</v>
      </c>
      <c r="C262" s="821" t="s">
        <v>934</v>
      </c>
      <c r="D262" s="821" t="s">
        <v>839</v>
      </c>
      <c r="E262" s="821" t="s">
        <v>854</v>
      </c>
      <c r="F262" s="821"/>
      <c r="G262" s="821"/>
      <c r="H262" s="399"/>
      <c r="I262" s="399"/>
      <c r="J262" s="575" t="s">
        <v>1206</v>
      </c>
      <c r="K262" s="409">
        <f>+K263+K264+K265+K266+K267</f>
        <v>0</v>
      </c>
      <c r="L262" s="409">
        <f>+L263+L264+L265+L266+L267</f>
        <v>0</v>
      </c>
      <c r="M262" s="409">
        <f>+M263+M264+M265+M266+M267</f>
        <v>0</v>
      </c>
      <c r="N262" s="409">
        <f t="shared" si="93"/>
        <v>0</v>
      </c>
      <c r="O262" s="409">
        <f t="shared" ref="O262:T262" si="99">+O263+O264+O265+O266+O267</f>
        <v>0</v>
      </c>
      <c r="P262" s="409">
        <f t="shared" si="99"/>
        <v>0</v>
      </c>
      <c r="Q262" s="409">
        <f t="shared" si="99"/>
        <v>0</v>
      </c>
      <c r="R262" s="409">
        <f t="shared" si="99"/>
        <v>0</v>
      </c>
      <c r="S262" s="409">
        <f t="shared" si="99"/>
        <v>0</v>
      </c>
      <c r="T262" s="409">
        <f t="shared" si="99"/>
        <v>0</v>
      </c>
      <c r="U262" s="909">
        <v>0</v>
      </c>
      <c r="V262" s="821"/>
      <c r="W262" s="401"/>
      <c r="X262" s="401"/>
      <c r="Y262" s="571" t="s">
        <v>838</v>
      </c>
    </row>
    <row r="263" spans="1:16372" ht="22.5" customHeight="1" thickTop="1" thickBot="1">
      <c r="A263" s="403" t="s">
        <v>835</v>
      </c>
      <c r="B263" s="399" t="s">
        <v>852</v>
      </c>
      <c r="C263" s="399" t="s">
        <v>934</v>
      </c>
      <c r="D263" s="399" t="s">
        <v>839</v>
      </c>
      <c r="E263" s="399" t="s">
        <v>854</v>
      </c>
      <c r="F263" s="821" t="s">
        <v>839</v>
      </c>
      <c r="G263" s="399"/>
      <c r="H263" s="399"/>
      <c r="I263" s="399"/>
      <c r="J263" s="576" t="s">
        <v>1207</v>
      </c>
      <c r="K263" s="410"/>
      <c r="L263" s="410"/>
      <c r="M263" s="410"/>
      <c r="N263" s="410">
        <f t="shared" si="93"/>
        <v>0</v>
      </c>
      <c r="O263" s="410"/>
      <c r="P263" s="410"/>
      <c r="Q263" s="410"/>
      <c r="R263" s="410"/>
      <c r="S263" s="410"/>
      <c r="T263" s="410"/>
      <c r="U263" s="913">
        <v>0</v>
      </c>
      <c r="V263" s="399"/>
      <c r="W263" s="403"/>
      <c r="X263" s="403"/>
      <c r="Y263" s="571" t="s">
        <v>838</v>
      </c>
    </row>
    <row r="264" spans="1:16372" ht="22.5" customHeight="1" thickTop="1" thickBot="1">
      <c r="A264" s="403" t="s">
        <v>835</v>
      </c>
      <c r="B264" s="399" t="s">
        <v>852</v>
      </c>
      <c r="C264" s="399" t="s">
        <v>934</v>
      </c>
      <c r="D264" s="399" t="s">
        <v>839</v>
      </c>
      <c r="E264" s="399" t="s">
        <v>854</v>
      </c>
      <c r="F264" s="821" t="s">
        <v>852</v>
      </c>
      <c r="G264" s="399"/>
      <c r="H264" s="399"/>
      <c r="I264" s="399"/>
      <c r="J264" s="576" t="s">
        <v>1208</v>
      </c>
      <c r="K264" s="410"/>
      <c r="L264" s="410"/>
      <c r="M264" s="410"/>
      <c r="N264" s="410">
        <f t="shared" si="93"/>
        <v>0</v>
      </c>
      <c r="O264" s="410"/>
      <c r="P264" s="410"/>
      <c r="Q264" s="410"/>
      <c r="R264" s="410"/>
      <c r="S264" s="410"/>
      <c r="T264" s="410"/>
      <c r="U264" s="913">
        <v>0</v>
      </c>
      <c r="V264" s="399"/>
      <c r="W264" s="403"/>
      <c r="X264" s="403"/>
      <c r="Y264" s="571" t="s">
        <v>838</v>
      </c>
    </row>
    <row r="265" spans="1:16372" ht="22.5" customHeight="1" thickTop="1" thickBot="1">
      <c r="A265" s="403" t="s">
        <v>835</v>
      </c>
      <c r="B265" s="399" t="s">
        <v>852</v>
      </c>
      <c r="C265" s="399" t="s">
        <v>934</v>
      </c>
      <c r="D265" s="399" t="s">
        <v>839</v>
      </c>
      <c r="E265" s="399" t="s">
        <v>854</v>
      </c>
      <c r="F265" s="821" t="s">
        <v>854</v>
      </c>
      <c r="G265" s="399"/>
      <c r="H265" s="399"/>
      <c r="I265" s="399"/>
      <c r="J265" s="576" t="s">
        <v>1209</v>
      </c>
      <c r="K265" s="410"/>
      <c r="L265" s="410"/>
      <c r="M265" s="410"/>
      <c r="N265" s="410">
        <f t="shared" si="93"/>
        <v>0</v>
      </c>
      <c r="O265" s="410"/>
      <c r="P265" s="410"/>
      <c r="Q265" s="410"/>
      <c r="R265" s="410"/>
      <c r="S265" s="410"/>
      <c r="T265" s="410"/>
      <c r="U265" s="913">
        <v>0</v>
      </c>
      <c r="V265" s="399"/>
      <c r="W265" s="403"/>
      <c r="X265" s="403"/>
      <c r="Y265" s="571" t="s">
        <v>838</v>
      </c>
    </row>
    <row r="266" spans="1:16372" ht="22.5" customHeight="1" thickTop="1" thickBot="1">
      <c r="A266" s="403" t="s">
        <v>835</v>
      </c>
      <c r="B266" s="399" t="s">
        <v>852</v>
      </c>
      <c r="C266" s="399" t="s">
        <v>934</v>
      </c>
      <c r="D266" s="399" t="s">
        <v>839</v>
      </c>
      <c r="E266" s="399" t="s">
        <v>854</v>
      </c>
      <c r="F266" s="821" t="s">
        <v>856</v>
      </c>
      <c r="G266" s="399"/>
      <c r="H266" s="399"/>
      <c r="I266" s="399"/>
      <c r="J266" s="576" t="s">
        <v>1210</v>
      </c>
      <c r="K266" s="410"/>
      <c r="L266" s="410"/>
      <c r="M266" s="410"/>
      <c r="N266" s="410">
        <f t="shared" si="93"/>
        <v>0</v>
      </c>
      <c r="O266" s="410"/>
      <c r="P266" s="410"/>
      <c r="Q266" s="410"/>
      <c r="R266" s="410"/>
      <c r="S266" s="410"/>
      <c r="T266" s="410"/>
      <c r="U266" s="913">
        <v>0</v>
      </c>
      <c r="V266" s="399"/>
      <c r="W266" s="403"/>
      <c r="X266" s="403"/>
      <c r="Y266" s="571" t="s">
        <v>838</v>
      </c>
    </row>
    <row r="267" spans="1:16372" s="137" customFormat="1" ht="22.5" customHeight="1" thickTop="1" thickBot="1">
      <c r="A267" s="403" t="s">
        <v>835</v>
      </c>
      <c r="B267" s="399" t="s">
        <v>852</v>
      </c>
      <c r="C267" s="399" t="s">
        <v>934</v>
      </c>
      <c r="D267" s="399" t="s">
        <v>839</v>
      </c>
      <c r="E267" s="399" t="s">
        <v>854</v>
      </c>
      <c r="F267" s="821" t="s">
        <v>907</v>
      </c>
      <c r="G267" s="399"/>
      <c r="H267" s="399"/>
      <c r="I267" s="399"/>
      <c r="J267" s="576" t="s">
        <v>1211</v>
      </c>
      <c r="K267" s="410"/>
      <c r="L267" s="410"/>
      <c r="M267" s="410"/>
      <c r="N267" s="410">
        <f t="shared" si="93"/>
        <v>0</v>
      </c>
      <c r="O267" s="410"/>
      <c r="P267" s="410"/>
      <c r="Q267" s="410"/>
      <c r="R267" s="410"/>
      <c r="S267" s="410"/>
      <c r="T267" s="410"/>
      <c r="U267" s="913">
        <v>0</v>
      </c>
      <c r="V267" s="399"/>
      <c r="W267" s="403"/>
      <c r="X267" s="403"/>
      <c r="Y267" s="571" t="s">
        <v>838</v>
      </c>
    </row>
    <row r="268" spans="1:16372" s="137" customFormat="1" ht="22.5" customHeight="1" thickTop="1" thickBot="1">
      <c r="A268" s="401" t="s">
        <v>835</v>
      </c>
      <c r="B268" s="821" t="s">
        <v>852</v>
      </c>
      <c r="C268" s="821" t="s">
        <v>934</v>
      </c>
      <c r="D268" s="821" t="s">
        <v>839</v>
      </c>
      <c r="E268" s="821" t="s">
        <v>856</v>
      </c>
      <c r="F268" s="821"/>
      <c r="G268" s="821"/>
      <c r="H268" s="399"/>
      <c r="I268" s="399"/>
      <c r="J268" s="575" t="s">
        <v>1212</v>
      </c>
      <c r="K268" s="409"/>
      <c r="L268" s="409"/>
      <c r="M268" s="409"/>
      <c r="N268" s="409">
        <f t="shared" si="93"/>
        <v>0</v>
      </c>
      <c r="O268" s="409"/>
      <c r="P268" s="409"/>
      <c r="Q268" s="409"/>
      <c r="R268" s="409"/>
      <c r="S268" s="409"/>
      <c r="T268" s="409"/>
      <c r="U268" s="909">
        <v>0</v>
      </c>
      <c r="V268" s="821"/>
      <c r="W268" s="401"/>
      <c r="X268" s="401"/>
      <c r="Y268" s="571" t="s">
        <v>838</v>
      </c>
    </row>
    <row r="269" spans="1:16372" s="137" customFormat="1" ht="22.5" customHeight="1" thickTop="1" thickBot="1">
      <c r="A269" s="401" t="s">
        <v>835</v>
      </c>
      <c r="B269" s="821" t="s">
        <v>852</v>
      </c>
      <c r="C269" s="821" t="s">
        <v>934</v>
      </c>
      <c r="D269" s="821" t="s">
        <v>839</v>
      </c>
      <c r="E269" s="821" t="s">
        <v>907</v>
      </c>
      <c r="F269" s="821"/>
      <c r="G269" s="821"/>
      <c r="H269" s="399"/>
      <c r="I269" s="399"/>
      <c r="J269" s="575" t="s">
        <v>1213</v>
      </c>
      <c r="K269" s="409"/>
      <c r="L269" s="409"/>
      <c r="M269" s="409"/>
      <c r="N269" s="409">
        <f t="shared" si="93"/>
        <v>0</v>
      </c>
      <c r="O269" s="409"/>
      <c r="P269" s="409"/>
      <c r="Q269" s="409"/>
      <c r="R269" s="409"/>
      <c r="S269" s="409"/>
      <c r="T269" s="409"/>
      <c r="U269" s="909">
        <v>0</v>
      </c>
      <c r="V269" s="821"/>
      <c r="W269" s="401"/>
      <c r="X269" s="401"/>
      <c r="Y269" s="571" t="s">
        <v>838</v>
      </c>
    </row>
    <row r="270" spans="1:16372" s="137" customFormat="1" ht="22.5" customHeight="1" thickTop="1" thickBot="1">
      <c r="A270" s="398" t="s">
        <v>835</v>
      </c>
      <c r="B270" s="395" t="s">
        <v>852</v>
      </c>
      <c r="C270" s="395" t="s">
        <v>934</v>
      </c>
      <c r="D270" s="395" t="s">
        <v>852</v>
      </c>
      <c r="E270" s="395"/>
      <c r="F270" s="395"/>
      <c r="G270" s="395"/>
      <c r="H270" s="396"/>
      <c r="I270" s="396"/>
      <c r="J270" s="574" t="s">
        <v>1214</v>
      </c>
      <c r="K270" s="406">
        <f>+K271+K273+K274+K280+K281</f>
        <v>0</v>
      </c>
      <c r="L270" s="406">
        <f>+L271+L273+L274+L280+L281</f>
        <v>0</v>
      </c>
      <c r="M270" s="406">
        <f>+M271+M273+M274+M280+M281</f>
        <v>0</v>
      </c>
      <c r="N270" s="406">
        <f t="shared" si="93"/>
        <v>0</v>
      </c>
      <c r="O270" s="406">
        <f t="shared" ref="O270:T270" si="100">+O271+O273+O274+O280+O281</f>
        <v>0</v>
      </c>
      <c r="P270" s="406">
        <f t="shared" si="100"/>
        <v>0</v>
      </c>
      <c r="Q270" s="406">
        <f t="shared" si="100"/>
        <v>0</v>
      </c>
      <c r="R270" s="406">
        <f t="shared" si="100"/>
        <v>0</v>
      </c>
      <c r="S270" s="406">
        <f t="shared" si="100"/>
        <v>0</v>
      </c>
      <c r="T270" s="406">
        <f t="shared" si="100"/>
        <v>0</v>
      </c>
      <c r="U270" s="908">
        <v>0</v>
      </c>
      <c r="V270" s="395"/>
      <c r="W270" s="395"/>
      <c r="X270" s="395"/>
      <c r="Y270" s="571" t="s">
        <v>838</v>
      </c>
    </row>
    <row r="271" spans="1:16372" ht="22.5" customHeight="1" thickTop="1" thickBot="1">
      <c r="A271" s="401" t="s">
        <v>835</v>
      </c>
      <c r="B271" s="821" t="s">
        <v>852</v>
      </c>
      <c r="C271" s="821" t="s">
        <v>934</v>
      </c>
      <c r="D271" s="821" t="s">
        <v>852</v>
      </c>
      <c r="E271" s="821" t="s">
        <v>839</v>
      </c>
      <c r="F271" s="821"/>
      <c r="G271" s="821"/>
      <c r="H271" s="399"/>
      <c r="I271" s="399"/>
      <c r="J271" s="575" t="s">
        <v>1215</v>
      </c>
      <c r="K271" s="409">
        <f t="shared" ref="K271:T271" si="101">+K272</f>
        <v>0</v>
      </c>
      <c r="L271" s="409">
        <f>+L272</f>
        <v>0</v>
      </c>
      <c r="M271" s="409">
        <f>+M272</f>
        <v>0</v>
      </c>
      <c r="N271" s="409">
        <f t="shared" si="93"/>
        <v>0</v>
      </c>
      <c r="O271" s="409">
        <f t="shared" si="101"/>
        <v>0</v>
      </c>
      <c r="P271" s="409">
        <f t="shared" si="101"/>
        <v>0</v>
      </c>
      <c r="Q271" s="409">
        <f t="shared" si="101"/>
        <v>0</v>
      </c>
      <c r="R271" s="409">
        <f t="shared" si="101"/>
        <v>0</v>
      </c>
      <c r="S271" s="409">
        <f t="shared" si="101"/>
        <v>0</v>
      </c>
      <c r="T271" s="409">
        <f t="shared" si="101"/>
        <v>0</v>
      </c>
      <c r="U271" s="909">
        <v>0</v>
      </c>
      <c r="V271" s="821"/>
      <c r="W271" s="401"/>
      <c r="X271" s="401"/>
      <c r="Y271" s="571" t="s">
        <v>838</v>
      </c>
    </row>
    <row r="272" spans="1:16372" s="137" customFormat="1" ht="22.5" customHeight="1" thickTop="1" thickBot="1">
      <c r="A272" s="403" t="s">
        <v>835</v>
      </c>
      <c r="B272" s="399" t="s">
        <v>852</v>
      </c>
      <c r="C272" s="399" t="s">
        <v>934</v>
      </c>
      <c r="D272" s="399" t="s">
        <v>852</v>
      </c>
      <c r="E272" s="399" t="s">
        <v>839</v>
      </c>
      <c r="F272" s="821" t="s">
        <v>839</v>
      </c>
      <c r="G272" s="399"/>
      <c r="H272" s="399"/>
      <c r="I272" s="399"/>
      <c r="J272" s="576" t="s">
        <v>1216</v>
      </c>
      <c r="K272" s="410"/>
      <c r="L272" s="410"/>
      <c r="M272" s="410"/>
      <c r="N272" s="410">
        <f t="shared" si="93"/>
        <v>0</v>
      </c>
      <c r="O272" s="410"/>
      <c r="P272" s="410"/>
      <c r="Q272" s="410"/>
      <c r="R272" s="410"/>
      <c r="S272" s="410"/>
      <c r="T272" s="410"/>
      <c r="U272" s="913">
        <v>0</v>
      </c>
      <c r="V272" s="399"/>
      <c r="W272" s="403"/>
      <c r="X272" s="403"/>
      <c r="Y272" s="571" t="s">
        <v>838</v>
      </c>
    </row>
    <row r="273" spans="1:25" s="137" customFormat="1" ht="22.5" customHeight="1" thickTop="1" thickBot="1">
      <c r="A273" s="401" t="s">
        <v>835</v>
      </c>
      <c r="B273" s="821" t="s">
        <v>852</v>
      </c>
      <c r="C273" s="821" t="s">
        <v>934</v>
      </c>
      <c r="D273" s="821" t="s">
        <v>852</v>
      </c>
      <c r="E273" s="821" t="s">
        <v>852</v>
      </c>
      <c r="F273" s="821"/>
      <c r="G273" s="821"/>
      <c r="H273" s="399"/>
      <c r="I273" s="399"/>
      <c r="J273" s="575" t="s">
        <v>1217</v>
      </c>
      <c r="K273" s="409"/>
      <c r="L273" s="409"/>
      <c r="M273" s="409"/>
      <c r="N273" s="409">
        <f t="shared" si="93"/>
        <v>0</v>
      </c>
      <c r="O273" s="409"/>
      <c r="P273" s="409"/>
      <c r="Q273" s="409"/>
      <c r="R273" s="409"/>
      <c r="S273" s="409"/>
      <c r="T273" s="409"/>
      <c r="U273" s="909">
        <v>0</v>
      </c>
      <c r="V273" s="821"/>
      <c r="W273" s="401"/>
      <c r="X273" s="401"/>
      <c r="Y273" s="571" t="s">
        <v>838</v>
      </c>
    </row>
    <row r="274" spans="1:25" ht="22.5" customHeight="1" thickTop="1" thickBot="1">
      <c r="A274" s="401" t="s">
        <v>835</v>
      </c>
      <c r="B274" s="821" t="s">
        <v>852</v>
      </c>
      <c r="C274" s="821" t="s">
        <v>934</v>
      </c>
      <c r="D274" s="821" t="s">
        <v>852</v>
      </c>
      <c r="E274" s="821" t="s">
        <v>854</v>
      </c>
      <c r="F274" s="821"/>
      <c r="G274" s="821"/>
      <c r="H274" s="399"/>
      <c r="I274" s="399"/>
      <c r="J274" s="575" t="s">
        <v>1218</v>
      </c>
      <c r="K274" s="409">
        <f>+K275+K276+K277+K278+K279</f>
        <v>0</v>
      </c>
      <c r="L274" s="409">
        <f>+L275+L276+L277+L278+L279</f>
        <v>0</v>
      </c>
      <c r="M274" s="409">
        <f>+M275+M276+M277+M278+M279</f>
        <v>0</v>
      </c>
      <c r="N274" s="409">
        <f t="shared" si="93"/>
        <v>0</v>
      </c>
      <c r="O274" s="409">
        <f t="shared" ref="O274:T274" si="102">+O275+O276+O277+O278+O279</f>
        <v>0</v>
      </c>
      <c r="P274" s="409">
        <f t="shared" si="102"/>
        <v>0</v>
      </c>
      <c r="Q274" s="409">
        <f t="shared" si="102"/>
        <v>0</v>
      </c>
      <c r="R274" s="409">
        <f t="shared" si="102"/>
        <v>0</v>
      </c>
      <c r="S274" s="409">
        <f t="shared" si="102"/>
        <v>0</v>
      </c>
      <c r="T274" s="409">
        <f t="shared" si="102"/>
        <v>0</v>
      </c>
      <c r="U274" s="909">
        <v>0</v>
      </c>
      <c r="V274" s="821"/>
      <c r="W274" s="401"/>
      <c r="X274" s="401"/>
      <c r="Y274" s="571" t="s">
        <v>838</v>
      </c>
    </row>
    <row r="275" spans="1:25" ht="22.5" customHeight="1" thickTop="1" thickBot="1">
      <c r="A275" s="403" t="s">
        <v>835</v>
      </c>
      <c r="B275" s="399" t="s">
        <v>852</v>
      </c>
      <c r="C275" s="399" t="s">
        <v>934</v>
      </c>
      <c r="D275" s="399" t="s">
        <v>852</v>
      </c>
      <c r="E275" s="399" t="s">
        <v>854</v>
      </c>
      <c r="F275" s="821" t="s">
        <v>839</v>
      </c>
      <c r="G275" s="399"/>
      <c r="H275" s="399"/>
      <c r="I275" s="399"/>
      <c r="J275" s="576" t="s">
        <v>1219</v>
      </c>
      <c r="K275" s="402"/>
      <c r="L275" s="402"/>
      <c r="M275" s="402"/>
      <c r="N275" s="402">
        <f t="shared" si="93"/>
        <v>0</v>
      </c>
      <c r="O275" s="402"/>
      <c r="P275" s="402"/>
      <c r="Q275" s="402"/>
      <c r="R275" s="402"/>
      <c r="S275" s="402"/>
      <c r="T275" s="402"/>
      <c r="U275" s="913">
        <v>0</v>
      </c>
      <c r="V275" s="399"/>
      <c r="W275" s="403"/>
      <c r="X275" s="403"/>
      <c r="Y275" s="571" t="s">
        <v>838</v>
      </c>
    </row>
    <row r="276" spans="1:25" ht="22.5" customHeight="1" thickTop="1" thickBot="1">
      <c r="A276" s="403" t="s">
        <v>835</v>
      </c>
      <c r="B276" s="399" t="s">
        <v>852</v>
      </c>
      <c r="C276" s="399" t="s">
        <v>934</v>
      </c>
      <c r="D276" s="399" t="s">
        <v>852</v>
      </c>
      <c r="E276" s="399" t="s">
        <v>854</v>
      </c>
      <c r="F276" s="821" t="s">
        <v>852</v>
      </c>
      <c r="G276" s="399"/>
      <c r="H276" s="399"/>
      <c r="I276" s="399"/>
      <c r="J276" s="576" t="s">
        <v>1220</v>
      </c>
      <c r="K276" s="402"/>
      <c r="L276" s="402"/>
      <c r="M276" s="402"/>
      <c r="N276" s="402">
        <f t="shared" si="93"/>
        <v>0</v>
      </c>
      <c r="O276" s="402"/>
      <c r="P276" s="402"/>
      <c r="Q276" s="402"/>
      <c r="R276" s="402"/>
      <c r="S276" s="402"/>
      <c r="T276" s="402"/>
      <c r="U276" s="913">
        <v>0</v>
      </c>
      <c r="V276" s="399"/>
      <c r="W276" s="403"/>
      <c r="X276" s="403"/>
      <c r="Y276" s="571" t="s">
        <v>838</v>
      </c>
    </row>
    <row r="277" spans="1:25" ht="22.5" customHeight="1" thickTop="1" thickBot="1">
      <c r="A277" s="403" t="s">
        <v>835</v>
      </c>
      <c r="B277" s="399" t="s">
        <v>852</v>
      </c>
      <c r="C277" s="399" t="s">
        <v>934</v>
      </c>
      <c r="D277" s="399" t="s">
        <v>852</v>
      </c>
      <c r="E277" s="399" t="s">
        <v>854</v>
      </c>
      <c r="F277" s="821" t="s">
        <v>854</v>
      </c>
      <c r="G277" s="399"/>
      <c r="H277" s="399"/>
      <c r="I277" s="399"/>
      <c r="J277" s="576" t="s">
        <v>1221</v>
      </c>
      <c r="K277" s="402"/>
      <c r="L277" s="402"/>
      <c r="M277" s="402"/>
      <c r="N277" s="402">
        <f t="shared" si="93"/>
        <v>0</v>
      </c>
      <c r="O277" s="402"/>
      <c r="P277" s="402"/>
      <c r="Q277" s="402"/>
      <c r="R277" s="402"/>
      <c r="S277" s="402"/>
      <c r="T277" s="402"/>
      <c r="U277" s="913">
        <v>0</v>
      </c>
      <c r="V277" s="399"/>
      <c r="W277" s="403"/>
      <c r="X277" s="403"/>
      <c r="Y277" s="571" t="s">
        <v>838</v>
      </c>
    </row>
    <row r="278" spans="1:25" ht="22.5" customHeight="1" thickTop="1" thickBot="1">
      <c r="A278" s="403" t="s">
        <v>835</v>
      </c>
      <c r="B278" s="399" t="s">
        <v>852</v>
      </c>
      <c r="C278" s="399" t="s">
        <v>934</v>
      </c>
      <c r="D278" s="399" t="s">
        <v>852</v>
      </c>
      <c r="E278" s="399" t="s">
        <v>854</v>
      </c>
      <c r="F278" s="821" t="s">
        <v>856</v>
      </c>
      <c r="G278" s="399"/>
      <c r="H278" s="399"/>
      <c r="I278" s="399"/>
      <c r="J278" s="576" t="s">
        <v>1222</v>
      </c>
      <c r="K278" s="402"/>
      <c r="L278" s="402"/>
      <c r="M278" s="402"/>
      <c r="N278" s="402">
        <f t="shared" si="93"/>
        <v>0</v>
      </c>
      <c r="O278" s="402"/>
      <c r="P278" s="402"/>
      <c r="Q278" s="402"/>
      <c r="R278" s="402"/>
      <c r="S278" s="402"/>
      <c r="T278" s="402"/>
      <c r="U278" s="913">
        <v>0</v>
      </c>
      <c r="V278" s="399"/>
      <c r="W278" s="403"/>
      <c r="X278" s="403"/>
      <c r="Y278" s="571" t="s">
        <v>838</v>
      </c>
    </row>
    <row r="279" spans="1:25" s="137" customFormat="1" ht="22.5" customHeight="1" thickTop="1" thickBot="1">
      <c r="A279" s="403" t="s">
        <v>835</v>
      </c>
      <c r="B279" s="399" t="s">
        <v>852</v>
      </c>
      <c r="C279" s="399" t="s">
        <v>934</v>
      </c>
      <c r="D279" s="399" t="s">
        <v>852</v>
      </c>
      <c r="E279" s="399" t="s">
        <v>854</v>
      </c>
      <c r="F279" s="821" t="s">
        <v>907</v>
      </c>
      <c r="G279" s="399"/>
      <c r="H279" s="399"/>
      <c r="I279" s="399"/>
      <c r="J279" s="576" t="s">
        <v>1223</v>
      </c>
      <c r="K279" s="402"/>
      <c r="L279" s="402"/>
      <c r="M279" s="402"/>
      <c r="N279" s="402">
        <f t="shared" si="93"/>
        <v>0</v>
      </c>
      <c r="O279" s="402"/>
      <c r="P279" s="402"/>
      <c r="Q279" s="402"/>
      <c r="R279" s="402"/>
      <c r="S279" s="402"/>
      <c r="T279" s="402"/>
      <c r="U279" s="913">
        <v>0</v>
      </c>
      <c r="V279" s="399"/>
      <c r="W279" s="403"/>
      <c r="X279" s="403"/>
      <c r="Y279" s="571" t="s">
        <v>838</v>
      </c>
    </row>
    <row r="280" spans="1:25" s="137" customFormat="1" ht="22.5" customHeight="1" thickTop="1" thickBot="1">
      <c r="A280" s="401" t="s">
        <v>835</v>
      </c>
      <c r="B280" s="821" t="s">
        <v>852</v>
      </c>
      <c r="C280" s="821" t="s">
        <v>934</v>
      </c>
      <c r="D280" s="821" t="s">
        <v>852</v>
      </c>
      <c r="E280" s="821" t="s">
        <v>856</v>
      </c>
      <c r="F280" s="821"/>
      <c r="G280" s="821"/>
      <c r="H280" s="399"/>
      <c r="I280" s="399"/>
      <c r="J280" s="575" t="s">
        <v>1224</v>
      </c>
      <c r="K280" s="400"/>
      <c r="L280" s="400"/>
      <c r="M280" s="400"/>
      <c r="N280" s="400">
        <f t="shared" si="93"/>
        <v>0</v>
      </c>
      <c r="O280" s="400"/>
      <c r="P280" s="400"/>
      <c r="Q280" s="400"/>
      <c r="R280" s="400"/>
      <c r="S280" s="400"/>
      <c r="T280" s="400"/>
      <c r="U280" s="900">
        <v>0</v>
      </c>
      <c r="V280" s="821"/>
      <c r="W280" s="401"/>
      <c r="X280" s="401"/>
      <c r="Y280" s="571" t="s">
        <v>838</v>
      </c>
    </row>
    <row r="281" spans="1:25" s="137" customFormat="1" ht="22.5" customHeight="1" thickTop="1" thickBot="1">
      <c r="A281" s="401" t="s">
        <v>835</v>
      </c>
      <c r="B281" s="821" t="s">
        <v>852</v>
      </c>
      <c r="C281" s="821" t="s">
        <v>934</v>
      </c>
      <c r="D281" s="821" t="s">
        <v>852</v>
      </c>
      <c r="E281" s="821" t="s">
        <v>907</v>
      </c>
      <c r="F281" s="821"/>
      <c r="G281" s="821"/>
      <c r="H281" s="399"/>
      <c r="I281" s="399"/>
      <c r="J281" s="575" t="s">
        <v>1225</v>
      </c>
      <c r="K281" s="400"/>
      <c r="L281" s="400"/>
      <c r="M281" s="400"/>
      <c r="N281" s="400">
        <f t="shared" si="93"/>
        <v>0</v>
      </c>
      <c r="O281" s="400"/>
      <c r="P281" s="400"/>
      <c r="Q281" s="400"/>
      <c r="R281" s="400"/>
      <c r="S281" s="400"/>
      <c r="T281" s="400"/>
      <c r="U281" s="900">
        <v>0</v>
      </c>
      <c r="V281" s="821"/>
      <c r="W281" s="401"/>
      <c r="X281" s="401"/>
      <c r="Y281" s="571" t="s">
        <v>838</v>
      </c>
    </row>
    <row r="282" spans="1:25" s="137" customFormat="1" ht="22.5" customHeight="1" thickTop="1" thickBot="1">
      <c r="A282" s="398" t="s">
        <v>835</v>
      </c>
      <c r="B282" s="395" t="s">
        <v>852</v>
      </c>
      <c r="C282" s="395" t="s">
        <v>934</v>
      </c>
      <c r="D282" s="395" t="s">
        <v>854</v>
      </c>
      <c r="E282" s="395"/>
      <c r="F282" s="395"/>
      <c r="G282" s="395"/>
      <c r="H282" s="396"/>
      <c r="I282" s="396"/>
      <c r="J282" s="574" t="s">
        <v>1226</v>
      </c>
      <c r="K282" s="397">
        <f>+K283+K285+K286+K292+K293+K294+K295+K296+K301</f>
        <v>0</v>
      </c>
      <c r="L282" s="397">
        <f>+L283+L285+L286+L292+L293+L294+L295+L296+L301</f>
        <v>0</v>
      </c>
      <c r="M282" s="397">
        <f>+M283+M285+M286+M292+M293+M294+M295+M296+M301</f>
        <v>0</v>
      </c>
      <c r="N282" s="397">
        <f t="shared" si="93"/>
        <v>0</v>
      </c>
      <c r="O282" s="397">
        <f t="shared" ref="O282:T282" si="103">+O283+O285+O286+O292+O293+O294+O295+O296+O301</f>
        <v>0</v>
      </c>
      <c r="P282" s="397">
        <f t="shared" si="103"/>
        <v>0</v>
      </c>
      <c r="Q282" s="397">
        <f t="shared" si="103"/>
        <v>0</v>
      </c>
      <c r="R282" s="397">
        <f t="shared" si="103"/>
        <v>0</v>
      </c>
      <c r="S282" s="397">
        <f>+S283+S285+S286+S292+S293+S294+S295+S296+S301</f>
        <v>0</v>
      </c>
      <c r="T282" s="397">
        <f t="shared" si="103"/>
        <v>0</v>
      </c>
      <c r="U282" s="903">
        <v>0</v>
      </c>
      <c r="V282" s="395"/>
      <c r="W282" s="395"/>
      <c r="X282" s="395"/>
      <c r="Y282" s="571" t="s">
        <v>838</v>
      </c>
    </row>
    <row r="283" spans="1:25" ht="22.5" customHeight="1" thickTop="1" thickBot="1">
      <c r="A283" s="401" t="s">
        <v>835</v>
      </c>
      <c r="B283" s="821" t="s">
        <v>852</v>
      </c>
      <c r="C283" s="821" t="s">
        <v>934</v>
      </c>
      <c r="D283" s="821" t="s">
        <v>854</v>
      </c>
      <c r="E283" s="821" t="s">
        <v>839</v>
      </c>
      <c r="F283" s="821"/>
      <c r="G283" s="821"/>
      <c r="H283" s="399"/>
      <c r="I283" s="399"/>
      <c r="J283" s="575" t="s">
        <v>1227</v>
      </c>
      <c r="K283" s="400">
        <f t="shared" ref="K283:T283" si="104">+K284</f>
        <v>0</v>
      </c>
      <c r="L283" s="400">
        <f>+L284</f>
        <v>0</v>
      </c>
      <c r="M283" s="400">
        <f>+M284</f>
        <v>0</v>
      </c>
      <c r="N283" s="400">
        <f t="shared" si="93"/>
        <v>0</v>
      </c>
      <c r="O283" s="400">
        <f t="shared" si="104"/>
        <v>0</v>
      </c>
      <c r="P283" s="400">
        <f t="shared" si="104"/>
        <v>0</v>
      </c>
      <c r="Q283" s="400">
        <f t="shared" si="104"/>
        <v>0</v>
      </c>
      <c r="R283" s="400">
        <f t="shared" si="104"/>
        <v>0</v>
      </c>
      <c r="S283" s="400">
        <f t="shared" si="104"/>
        <v>0</v>
      </c>
      <c r="T283" s="400">
        <f t="shared" si="104"/>
        <v>0</v>
      </c>
      <c r="U283" s="900">
        <v>0</v>
      </c>
      <c r="V283" s="821"/>
      <c r="W283" s="401"/>
      <c r="X283" s="401"/>
      <c r="Y283" s="571" t="s">
        <v>838</v>
      </c>
    </row>
    <row r="284" spans="1:25" s="137" customFormat="1" ht="22.5" customHeight="1" thickTop="1" thickBot="1">
      <c r="A284" s="403" t="s">
        <v>835</v>
      </c>
      <c r="B284" s="399" t="s">
        <v>852</v>
      </c>
      <c r="C284" s="399" t="s">
        <v>934</v>
      </c>
      <c r="D284" s="399" t="s">
        <v>854</v>
      </c>
      <c r="E284" s="399" t="s">
        <v>839</v>
      </c>
      <c r="F284" s="821" t="s">
        <v>839</v>
      </c>
      <c r="G284" s="399"/>
      <c r="H284" s="399"/>
      <c r="I284" s="399"/>
      <c r="J284" s="576" t="s">
        <v>1228</v>
      </c>
      <c r="K284" s="402"/>
      <c r="L284" s="402"/>
      <c r="M284" s="402"/>
      <c r="N284" s="400">
        <f t="shared" si="93"/>
        <v>0</v>
      </c>
      <c r="O284" s="402"/>
      <c r="P284" s="402"/>
      <c r="Q284" s="402"/>
      <c r="R284" s="402"/>
      <c r="S284" s="400"/>
      <c r="T284" s="402"/>
      <c r="U284" s="897">
        <v>0</v>
      </c>
      <c r="V284" s="399"/>
      <c r="W284" s="403"/>
      <c r="X284" s="403"/>
      <c r="Y284" s="571" t="s">
        <v>838</v>
      </c>
    </row>
    <row r="285" spans="1:25" s="137" customFormat="1" ht="22.5" customHeight="1" thickTop="1" thickBot="1">
      <c r="A285" s="401" t="s">
        <v>835</v>
      </c>
      <c r="B285" s="821" t="s">
        <v>852</v>
      </c>
      <c r="C285" s="821" t="s">
        <v>934</v>
      </c>
      <c r="D285" s="821" t="s">
        <v>854</v>
      </c>
      <c r="E285" s="821" t="s">
        <v>852</v>
      </c>
      <c r="F285" s="821"/>
      <c r="G285" s="821"/>
      <c r="H285" s="399"/>
      <c r="I285" s="399"/>
      <c r="J285" s="575" t="s">
        <v>1229</v>
      </c>
      <c r="K285" s="400"/>
      <c r="L285" s="400"/>
      <c r="M285" s="400"/>
      <c r="N285" s="400">
        <f t="shared" si="93"/>
        <v>0</v>
      </c>
      <c r="O285" s="400"/>
      <c r="P285" s="400"/>
      <c r="Q285" s="400"/>
      <c r="R285" s="400"/>
      <c r="S285" s="400"/>
      <c r="T285" s="400"/>
      <c r="U285" s="900">
        <v>0</v>
      </c>
      <c r="V285" s="821"/>
      <c r="W285" s="401"/>
      <c r="X285" s="401"/>
      <c r="Y285" s="571" t="s">
        <v>838</v>
      </c>
    </row>
    <row r="286" spans="1:25" ht="22.5" customHeight="1" thickTop="1" thickBot="1">
      <c r="A286" s="401" t="s">
        <v>835</v>
      </c>
      <c r="B286" s="821" t="s">
        <v>852</v>
      </c>
      <c r="C286" s="821" t="s">
        <v>934</v>
      </c>
      <c r="D286" s="821" t="s">
        <v>854</v>
      </c>
      <c r="E286" s="821" t="s">
        <v>854</v>
      </c>
      <c r="F286" s="821"/>
      <c r="G286" s="821"/>
      <c r="H286" s="399"/>
      <c r="I286" s="399"/>
      <c r="J286" s="575" t="s">
        <v>1230</v>
      </c>
      <c r="K286" s="400">
        <f t="shared" ref="K286:T286" si="105">+K287+K288+K289+K290+K291</f>
        <v>0</v>
      </c>
      <c r="L286" s="400">
        <f>+L287+L288+L289+L290+L291</f>
        <v>0</v>
      </c>
      <c r="M286" s="400">
        <f>+M287+M288+M289+M290+M291</f>
        <v>0</v>
      </c>
      <c r="N286" s="400">
        <f t="shared" si="93"/>
        <v>0</v>
      </c>
      <c r="O286" s="400">
        <f t="shared" si="105"/>
        <v>0</v>
      </c>
      <c r="P286" s="400">
        <f t="shared" si="105"/>
        <v>0</v>
      </c>
      <c r="Q286" s="400">
        <f t="shared" si="105"/>
        <v>0</v>
      </c>
      <c r="R286" s="400">
        <f t="shared" si="105"/>
        <v>0</v>
      </c>
      <c r="S286" s="400">
        <f t="shared" si="105"/>
        <v>0</v>
      </c>
      <c r="T286" s="400">
        <f t="shared" si="105"/>
        <v>0</v>
      </c>
      <c r="U286" s="900">
        <v>0</v>
      </c>
      <c r="V286" s="821"/>
      <c r="W286" s="401"/>
      <c r="X286" s="401"/>
      <c r="Y286" s="571" t="s">
        <v>838</v>
      </c>
    </row>
    <row r="287" spans="1:25" ht="22.5" customHeight="1" thickTop="1" thickBot="1">
      <c r="A287" s="403" t="s">
        <v>835</v>
      </c>
      <c r="B287" s="399" t="s">
        <v>852</v>
      </c>
      <c r="C287" s="399" t="s">
        <v>934</v>
      </c>
      <c r="D287" s="399" t="s">
        <v>854</v>
      </c>
      <c r="E287" s="399" t="s">
        <v>854</v>
      </c>
      <c r="F287" s="821" t="s">
        <v>839</v>
      </c>
      <c r="G287" s="399"/>
      <c r="H287" s="399"/>
      <c r="I287" s="399"/>
      <c r="J287" s="576" t="s">
        <v>1231</v>
      </c>
      <c r="K287" s="402"/>
      <c r="L287" s="402"/>
      <c r="M287" s="402"/>
      <c r="N287" s="400">
        <f t="shared" si="93"/>
        <v>0</v>
      </c>
      <c r="O287" s="402"/>
      <c r="P287" s="402"/>
      <c r="Q287" s="402"/>
      <c r="R287" s="402"/>
      <c r="S287" s="400"/>
      <c r="T287" s="402"/>
      <c r="U287" s="897">
        <v>0</v>
      </c>
      <c r="V287" s="399"/>
      <c r="W287" s="403"/>
      <c r="X287" s="403"/>
      <c r="Y287" s="571" t="s">
        <v>838</v>
      </c>
    </row>
    <row r="288" spans="1:25" ht="22.5" customHeight="1" thickTop="1" thickBot="1">
      <c r="A288" s="403" t="s">
        <v>835</v>
      </c>
      <c r="B288" s="399" t="s">
        <v>852</v>
      </c>
      <c r="C288" s="399" t="s">
        <v>934</v>
      </c>
      <c r="D288" s="399" t="s">
        <v>854</v>
      </c>
      <c r="E288" s="399" t="s">
        <v>854</v>
      </c>
      <c r="F288" s="821" t="s">
        <v>852</v>
      </c>
      <c r="G288" s="399"/>
      <c r="H288" s="399"/>
      <c r="I288" s="399"/>
      <c r="J288" s="576" t="s">
        <v>1232</v>
      </c>
      <c r="K288" s="402"/>
      <c r="L288" s="402"/>
      <c r="M288" s="402"/>
      <c r="N288" s="400">
        <f t="shared" si="93"/>
        <v>0</v>
      </c>
      <c r="O288" s="402"/>
      <c r="P288" s="402"/>
      <c r="Q288" s="402"/>
      <c r="R288" s="402"/>
      <c r="S288" s="400"/>
      <c r="T288" s="402"/>
      <c r="U288" s="897">
        <v>0</v>
      </c>
      <c r="V288" s="399"/>
      <c r="W288" s="403"/>
      <c r="X288" s="403"/>
      <c r="Y288" s="571" t="s">
        <v>838</v>
      </c>
    </row>
    <row r="289" spans="1:25" ht="22.5" customHeight="1" thickTop="1" thickBot="1">
      <c r="A289" s="403" t="s">
        <v>835</v>
      </c>
      <c r="B289" s="399" t="s">
        <v>852</v>
      </c>
      <c r="C289" s="399" t="s">
        <v>934</v>
      </c>
      <c r="D289" s="399" t="s">
        <v>854</v>
      </c>
      <c r="E289" s="399" t="s">
        <v>854</v>
      </c>
      <c r="F289" s="821" t="s">
        <v>854</v>
      </c>
      <c r="G289" s="399"/>
      <c r="H289" s="399"/>
      <c r="I289" s="399"/>
      <c r="J289" s="576" t="s">
        <v>1233</v>
      </c>
      <c r="K289" s="402"/>
      <c r="L289" s="402"/>
      <c r="M289" s="402"/>
      <c r="N289" s="400">
        <f t="shared" si="93"/>
        <v>0</v>
      </c>
      <c r="O289" s="402"/>
      <c r="P289" s="402"/>
      <c r="Q289" s="402"/>
      <c r="R289" s="402"/>
      <c r="S289" s="400"/>
      <c r="T289" s="402"/>
      <c r="U289" s="897">
        <v>0</v>
      </c>
      <c r="V289" s="399"/>
      <c r="W289" s="403"/>
      <c r="X289" s="403"/>
      <c r="Y289" s="571" t="s">
        <v>838</v>
      </c>
    </row>
    <row r="290" spans="1:25" ht="22.5" customHeight="1" thickTop="1" thickBot="1">
      <c r="A290" s="403" t="s">
        <v>835</v>
      </c>
      <c r="B290" s="399" t="s">
        <v>852</v>
      </c>
      <c r="C290" s="399" t="s">
        <v>934</v>
      </c>
      <c r="D290" s="399" t="s">
        <v>854</v>
      </c>
      <c r="E290" s="399" t="s">
        <v>854</v>
      </c>
      <c r="F290" s="821" t="s">
        <v>856</v>
      </c>
      <c r="G290" s="399"/>
      <c r="H290" s="399"/>
      <c r="I290" s="399"/>
      <c r="J290" s="576" t="s">
        <v>1234</v>
      </c>
      <c r="K290" s="402"/>
      <c r="L290" s="402"/>
      <c r="M290" s="402"/>
      <c r="N290" s="400">
        <f t="shared" si="93"/>
        <v>0</v>
      </c>
      <c r="O290" s="402"/>
      <c r="P290" s="402"/>
      <c r="Q290" s="402"/>
      <c r="R290" s="402"/>
      <c r="S290" s="400"/>
      <c r="T290" s="402"/>
      <c r="U290" s="897">
        <v>0</v>
      </c>
      <c r="V290" s="399"/>
      <c r="W290" s="403"/>
      <c r="X290" s="403"/>
      <c r="Y290" s="571" t="s">
        <v>838</v>
      </c>
    </row>
    <row r="291" spans="1:25" s="137" customFormat="1" ht="22.5" customHeight="1" thickTop="1" thickBot="1">
      <c r="A291" s="403" t="s">
        <v>835</v>
      </c>
      <c r="B291" s="399" t="s">
        <v>852</v>
      </c>
      <c r="C291" s="399" t="s">
        <v>934</v>
      </c>
      <c r="D291" s="399" t="s">
        <v>854</v>
      </c>
      <c r="E291" s="399" t="s">
        <v>854</v>
      </c>
      <c r="F291" s="821" t="s">
        <v>907</v>
      </c>
      <c r="G291" s="399"/>
      <c r="H291" s="399"/>
      <c r="I291" s="399"/>
      <c r="J291" s="576" t="s">
        <v>1235</v>
      </c>
      <c r="K291" s="402"/>
      <c r="L291" s="402"/>
      <c r="M291" s="402"/>
      <c r="N291" s="400">
        <f t="shared" si="93"/>
        <v>0</v>
      </c>
      <c r="O291" s="402"/>
      <c r="P291" s="402"/>
      <c r="Q291" s="402"/>
      <c r="R291" s="402"/>
      <c r="S291" s="400"/>
      <c r="T291" s="402"/>
      <c r="U291" s="897">
        <v>0</v>
      </c>
      <c r="V291" s="399"/>
      <c r="W291" s="403"/>
      <c r="X291" s="403"/>
      <c r="Y291" s="571" t="s">
        <v>838</v>
      </c>
    </row>
    <row r="292" spans="1:25" s="137" customFormat="1" ht="22.5" customHeight="1" thickTop="1" thickBot="1">
      <c r="A292" s="401" t="s">
        <v>835</v>
      </c>
      <c r="B292" s="821" t="s">
        <v>852</v>
      </c>
      <c r="C292" s="821" t="s">
        <v>934</v>
      </c>
      <c r="D292" s="821" t="s">
        <v>854</v>
      </c>
      <c r="E292" s="821" t="s">
        <v>856</v>
      </c>
      <c r="F292" s="821"/>
      <c r="G292" s="821"/>
      <c r="H292" s="399"/>
      <c r="I292" s="399"/>
      <c r="J292" s="575" t="s">
        <v>1236</v>
      </c>
      <c r="K292" s="400"/>
      <c r="L292" s="400"/>
      <c r="M292" s="400"/>
      <c r="N292" s="400">
        <f t="shared" si="93"/>
        <v>0</v>
      </c>
      <c r="O292" s="400"/>
      <c r="P292" s="400"/>
      <c r="Q292" s="400"/>
      <c r="R292" s="400"/>
      <c r="S292" s="400"/>
      <c r="T292" s="400"/>
      <c r="U292" s="900">
        <v>0</v>
      </c>
      <c r="V292" s="821"/>
      <c r="W292" s="401"/>
      <c r="X292" s="401"/>
      <c r="Y292" s="571" t="s">
        <v>838</v>
      </c>
    </row>
    <row r="293" spans="1:25" ht="22.5" customHeight="1" thickTop="1" thickBot="1">
      <c r="A293" s="401" t="s">
        <v>835</v>
      </c>
      <c r="B293" s="821" t="s">
        <v>852</v>
      </c>
      <c r="C293" s="821" t="s">
        <v>934</v>
      </c>
      <c r="D293" s="821" t="s">
        <v>854</v>
      </c>
      <c r="E293" s="821" t="s">
        <v>907</v>
      </c>
      <c r="F293" s="821"/>
      <c r="G293" s="821"/>
      <c r="H293" s="399"/>
      <c r="I293" s="399"/>
      <c r="J293" s="575" t="s">
        <v>1237</v>
      </c>
      <c r="K293" s="400"/>
      <c r="L293" s="400"/>
      <c r="M293" s="400"/>
      <c r="N293" s="400">
        <f t="shared" si="93"/>
        <v>0</v>
      </c>
      <c r="O293" s="400"/>
      <c r="P293" s="400"/>
      <c r="Q293" s="400"/>
      <c r="R293" s="400"/>
      <c r="S293" s="400"/>
      <c r="T293" s="400"/>
      <c r="U293" s="900">
        <v>0</v>
      </c>
      <c r="V293" s="821"/>
      <c r="W293" s="401"/>
      <c r="X293" s="401"/>
      <c r="Y293" s="571" t="s">
        <v>838</v>
      </c>
    </row>
    <row r="294" spans="1:25" ht="22.5" customHeight="1" thickTop="1" thickBot="1">
      <c r="A294" s="401" t="s">
        <v>835</v>
      </c>
      <c r="B294" s="821" t="s">
        <v>852</v>
      </c>
      <c r="C294" s="821" t="s">
        <v>934</v>
      </c>
      <c r="D294" s="821" t="s">
        <v>854</v>
      </c>
      <c r="E294" s="821" t="s">
        <v>930</v>
      </c>
      <c r="F294" s="399"/>
      <c r="G294" s="399"/>
      <c r="H294" s="399"/>
      <c r="I294" s="399"/>
      <c r="J294" s="575" t="s">
        <v>1238</v>
      </c>
      <c r="K294" s="400"/>
      <c r="L294" s="400"/>
      <c r="M294" s="400"/>
      <c r="N294" s="400">
        <f t="shared" si="93"/>
        <v>0</v>
      </c>
      <c r="O294" s="400"/>
      <c r="P294" s="400"/>
      <c r="Q294" s="400"/>
      <c r="R294" s="400"/>
      <c r="S294" s="400"/>
      <c r="T294" s="400"/>
      <c r="U294" s="900">
        <v>0</v>
      </c>
      <c r="V294" s="821"/>
      <c r="W294" s="401"/>
      <c r="X294" s="401"/>
    </row>
    <row r="295" spans="1:25" ht="22.5" customHeight="1" thickTop="1" thickBot="1">
      <c r="A295" s="401" t="s">
        <v>835</v>
      </c>
      <c r="B295" s="821" t="s">
        <v>852</v>
      </c>
      <c r="C295" s="821" t="s">
        <v>934</v>
      </c>
      <c r="D295" s="821" t="s">
        <v>854</v>
      </c>
      <c r="E295" s="821" t="s">
        <v>934</v>
      </c>
      <c r="F295" s="399"/>
      <c r="G295" s="399"/>
      <c r="H295" s="399"/>
      <c r="I295" s="399"/>
      <c r="J295" s="575" t="s">
        <v>1239</v>
      </c>
      <c r="K295" s="400"/>
      <c r="L295" s="400"/>
      <c r="M295" s="400"/>
      <c r="N295" s="400">
        <f t="shared" si="93"/>
        <v>0</v>
      </c>
      <c r="O295" s="400"/>
      <c r="P295" s="400"/>
      <c r="Q295" s="400"/>
      <c r="R295" s="400"/>
      <c r="S295" s="400"/>
      <c r="T295" s="400"/>
      <c r="U295" s="900">
        <v>0</v>
      </c>
      <c r="V295" s="821"/>
      <c r="W295" s="401"/>
      <c r="X295" s="401"/>
    </row>
    <row r="296" spans="1:25" ht="22.5" customHeight="1" thickTop="1" thickBot="1">
      <c r="A296" s="401" t="s">
        <v>835</v>
      </c>
      <c r="B296" s="821" t="s">
        <v>852</v>
      </c>
      <c r="C296" s="821" t="s">
        <v>934</v>
      </c>
      <c r="D296" s="821" t="s">
        <v>854</v>
      </c>
      <c r="E296" s="821" t="s">
        <v>938</v>
      </c>
      <c r="F296" s="399"/>
      <c r="G296" s="399"/>
      <c r="H296" s="399"/>
      <c r="I296" s="399"/>
      <c r="J296" s="575" t="s">
        <v>1240</v>
      </c>
      <c r="K296" s="400">
        <f>+K297</f>
        <v>0</v>
      </c>
      <c r="L296" s="400">
        <f>+L297</f>
        <v>0</v>
      </c>
      <c r="M296" s="400">
        <f>+M297</f>
        <v>0</v>
      </c>
      <c r="N296" s="400">
        <f t="shared" si="93"/>
        <v>0</v>
      </c>
      <c r="O296" s="400">
        <f t="shared" ref="O296:T296" si="106">+O297</f>
        <v>0</v>
      </c>
      <c r="P296" s="400">
        <f t="shared" si="106"/>
        <v>0</v>
      </c>
      <c r="Q296" s="400">
        <f t="shared" si="106"/>
        <v>0</v>
      </c>
      <c r="R296" s="400">
        <f t="shared" si="106"/>
        <v>0</v>
      </c>
      <c r="S296" s="400">
        <f>+S297</f>
        <v>0</v>
      </c>
      <c r="T296" s="400">
        <f t="shared" si="106"/>
        <v>0</v>
      </c>
      <c r="U296" s="900">
        <v>0</v>
      </c>
      <c r="V296" s="821"/>
      <c r="W296" s="401"/>
      <c r="X296" s="401"/>
    </row>
    <row r="297" spans="1:25" ht="22.5" customHeight="1" thickTop="1" thickBot="1">
      <c r="A297" s="403" t="s">
        <v>835</v>
      </c>
      <c r="B297" s="399" t="s">
        <v>852</v>
      </c>
      <c r="C297" s="399" t="s">
        <v>934</v>
      </c>
      <c r="D297" s="399" t="s">
        <v>854</v>
      </c>
      <c r="E297" s="399" t="s">
        <v>938</v>
      </c>
      <c r="F297" s="821" t="s">
        <v>839</v>
      </c>
      <c r="G297" s="399"/>
      <c r="H297" s="399"/>
      <c r="I297" s="399"/>
      <c r="J297" s="575" t="s">
        <v>1241</v>
      </c>
      <c r="K297" s="400">
        <f>K298+K299+K300</f>
        <v>0</v>
      </c>
      <c r="L297" s="400">
        <f>L298+L299+L300</f>
        <v>0</v>
      </c>
      <c r="M297" s="400">
        <f>M298+M299+M300</f>
        <v>0</v>
      </c>
      <c r="N297" s="400">
        <f t="shared" si="93"/>
        <v>0</v>
      </c>
      <c r="O297" s="400">
        <f t="shared" ref="O297:T297" si="107">O298+O299+O300</f>
        <v>0</v>
      </c>
      <c r="P297" s="400">
        <f t="shared" si="107"/>
        <v>0</v>
      </c>
      <c r="Q297" s="400">
        <f t="shared" si="107"/>
        <v>0</v>
      </c>
      <c r="R297" s="400">
        <f t="shared" si="107"/>
        <v>0</v>
      </c>
      <c r="S297" s="400">
        <f>S298+S299+S300</f>
        <v>0</v>
      </c>
      <c r="T297" s="400">
        <f t="shared" si="107"/>
        <v>0</v>
      </c>
      <c r="U297" s="900">
        <v>0</v>
      </c>
      <c r="V297" s="821"/>
      <c r="W297" s="401"/>
      <c r="X297" s="401"/>
    </row>
    <row r="298" spans="1:25" ht="22.5" customHeight="1" thickTop="1" thickBot="1">
      <c r="A298" s="403" t="s">
        <v>835</v>
      </c>
      <c r="B298" s="399" t="s">
        <v>852</v>
      </c>
      <c r="C298" s="399" t="s">
        <v>934</v>
      </c>
      <c r="D298" s="399" t="s">
        <v>854</v>
      </c>
      <c r="E298" s="399" t="s">
        <v>938</v>
      </c>
      <c r="F298" s="399" t="s">
        <v>839</v>
      </c>
      <c r="G298" s="821" t="s">
        <v>839</v>
      </c>
      <c r="H298" s="399"/>
      <c r="I298" s="399"/>
      <c r="J298" s="576" t="s">
        <v>1242</v>
      </c>
      <c r="K298" s="400"/>
      <c r="L298" s="400"/>
      <c r="M298" s="400"/>
      <c r="N298" s="400">
        <f t="shared" si="93"/>
        <v>0</v>
      </c>
      <c r="O298" s="400"/>
      <c r="P298" s="400"/>
      <c r="Q298" s="400"/>
      <c r="R298" s="400"/>
      <c r="S298" s="400"/>
      <c r="T298" s="400"/>
      <c r="U298" s="900">
        <v>0</v>
      </c>
      <c r="V298" s="821"/>
      <c r="W298" s="401"/>
      <c r="X298" s="401"/>
    </row>
    <row r="299" spans="1:25" ht="22.5" customHeight="1" thickTop="1" thickBot="1">
      <c r="A299" s="403" t="s">
        <v>835</v>
      </c>
      <c r="B299" s="399" t="s">
        <v>852</v>
      </c>
      <c r="C299" s="399" t="s">
        <v>934</v>
      </c>
      <c r="D299" s="399" t="s">
        <v>854</v>
      </c>
      <c r="E299" s="399" t="s">
        <v>938</v>
      </c>
      <c r="F299" s="399" t="s">
        <v>839</v>
      </c>
      <c r="G299" s="821" t="s">
        <v>852</v>
      </c>
      <c r="H299" s="399"/>
      <c r="I299" s="399"/>
      <c r="J299" s="576" t="s">
        <v>1243</v>
      </c>
      <c r="K299" s="400"/>
      <c r="L299" s="400"/>
      <c r="M299" s="400"/>
      <c r="N299" s="400">
        <f t="shared" si="93"/>
        <v>0</v>
      </c>
      <c r="O299" s="400"/>
      <c r="P299" s="400"/>
      <c r="Q299" s="400"/>
      <c r="R299" s="400"/>
      <c r="S299" s="400"/>
      <c r="T299" s="400"/>
      <c r="U299" s="900">
        <v>0</v>
      </c>
      <c r="V299" s="821"/>
      <c r="W299" s="401"/>
      <c r="X299" s="401"/>
    </row>
    <row r="300" spans="1:25" ht="22.5" customHeight="1" thickTop="1" thickBot="1">
      <c r="A300" s="403" t="s">
        <v>835</v>
      </c>
      <c r="B300" s="399" t="s">
        <v>852</v>
      </c>
      <c r="C300" s="399" t="s">
        <v>934</v>
      </c>
      <c r="D300" s="399" t="s">
        <v>854</v>
      </c>
      <c r="E300" s="399" t="s">
        <v>938</v>
      </c>
      <c r="F300" s="399" t="s">
        <v>839</v>
      </c>
      <c r="G300" s="821" t="s">
        <v>854</v>
      </c>
      <c r="H300" s="399"/>
      <c r="I300" s="399"/>
      <c r="J300" s="576" t="s">
        <v>1244</v>
      </c>
      <c r="K300" s="400"/>
      <c r="L300" s="400"/>
      <c r="M300" s="400"/>
      <c r="N300" s="400">
        <f t="shared" si="93"/>
        <v>0</v>
      </c>
      <c r="O300" s="400"/>
      <c r="P300" s="400"/>
      <c r="Q300" s="400"/>
      <c r="R300" s="400"/>
      <c r="S300" s="400"/>
      <c r="T300" s="400"/>
      <c r="U300" s="900">
        <v>0</v>
      </c>
      <c r="V300" s="821"/>
      <c r="W300" s="401"/>
      <c r="X300" s="401"/>
    </row>
    <row r="301" spans="1:25" ht="22.5" customHeight="1" thickTop="1" thickBot="1">
      <c r="A301" s="401" t="s">
        <v>835</v>
      </c>
      <c r="B301" s="821" t="s">
        <v>852</v>
      </c>
      <c r="C301" s="821" t="s">
        <v>934</v>
      </c>
      <c r="D301" s="821" t="s">
        <v>854</v>
      </c>
      <c r="E301" s="821" t="s">
        <v>1079</v>
      </c>
      <c r="F301" s="399"/>
      <c r="G301" s="399"/>
      <c r="H301" s="399"/>
      <c r="I301" s="399"/>
      <c r="J301" s="575" t="s">
        <v>1245</v>
      </c>
      <c r="K301" s="400">
        <f>+K302</f>
        <v>0</v>
      </c>
      <c r="L301" s="400">
        <f>+L302</f>
        <v>0</v>
      </c>
      <c r="M301" s="400">
        <f>+M302</f>
        <v>0</v>
      </c>
      <c r="N301" s="400">
        <f t="shared" si="93"/>
        <v>0</v>
      </c>
      <c r="O301" s="400">
        <f t="shared" ref="O301:T301" si="108">+O302</f>
        <v>0</v>
      </c>
      <c r="P301" s="400">
        <f t="shared" si="108"/>
        <v>0</v>
      </c>
      <c r="Q301" s="400">
        <f t="shared" si="108"/>
        <v>0</v>
      </c>
      <c r="R301" s="400">
        <f t="shared" si="108"/>
        <v>0</v>
      </c>
      <c r="S301" s="400">
        <f>+S302</f>
        <v>0</v>
      </c>
      <c r="T301" s="400">
        <f t="shared" si="108"/>
        <v>0</v>
      </c>
      <c r="U301" s="900">
        <v>0</v>
      </c>
      <c r="V301" s="821"/>
      <c r="W301" s="401"/>
      <c r="X301" s="401"/>
    </row>
    <row r="302" spans="1:25" ht="36" customHeight="1" thickTop="1" thickBot="1">
      <c r="A302" s="403" t="s">
        <v>835</v>
      </c>
      <c r="B302" s="399" t="s">
        <v>852</v>
      </c>
      <c r="C302" s="399" t="s">
        <v>934</v>
      </c>
      <c r="D302" s="399" t="s">
        <v>854</v>
      </c>
      <c r="E302" s="399" t="s">
        <v>1079</v>
      </c>
      <c r="F302" s="821" t="s">
        <v>839</v>
      </c>
      <c r="G302" s="399"/>
      <c r="H302" s="399"/>
      <c r="I302" s="399"/>
      <c r="J302" s="576" t="s">
        <v>1246</v>
      </c>
      <c r="K302" s="400"/>
      <c r="L302" s="400"/>
      <c r="M302" s="400"/>
      <c r="N302" s="400">
        <f t="shared" si="93"/>
        <v>0</v>
      </c>
      <c r="O302" s="400"/>
      <c r="P302" s="400"/>
      <c r="Q302" s="400"/>
      <c r="R302" s="400"/>
      <c r="S302" s="400"/>
      <c r="T302" s="400"/>
      <c r="U302" s="900">
        <v>0</v>
      </c>
      <c r="V302" s="821"/>
      <c r="W302" s="401"/>
      <c r="X302" s="401"/>
    </row>
    <row r="303" spans="1:25" ht="36" customHeight="1" thickTop="1"/>
    <row r="308" spans="12:12" ht="36" customHeight="1">
      <c r="L308" s="241" t="s">
        <v>154</v>
      </c>
    </row>
  </sheetData>
  <mergeCells count="15">
    <mergeCell ref="W4:W5"/>
    <mergeCell ref="X4:X5"/>
    <mergeCell ref="O4:R4"/>
    <mergeCell ref="S4:S5"/>
    <mergeCell ref="T4:T5"/>
    <mergeCell ref="U4:U5"/>
    <mergeCell ref="V4:V5"/>
    <mergeCell ref="A1:V1"/>
    <mergeCell ref="A2:V2"/>
    <mergeCell ref="A3:V3"/>
    <mergeCell ref="A4:I4"/>
    <mergeCell ref="J4:J5"/>
    <mergeCell ref="K4:K5"/>
    <mergeCell ref="L4:M4"/>
    <mergeCell ref="N4:N5"/>
  </mergeCells>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9"/>
  <sheetViews>
    <sheetView workbookViewId="0">
      <selection activeCell="E8" sqref="E8"/>
    </sheetView>
  </sheetViews>
  <sheetFormatPr defaultColWidth="11.42578125" defaultRowHeight="12.75"/>
  <cols>
    <col min="1" max="1" width="34.140625" style="454" customWidth="1"/>
    <col min="2" max="2" width="70.5703125" style="454" customWidth="1"/>
    <col min="3" max="16384" width="11.42578125" style="454"/>
  </cols>
  <sheetData>
    <row r="1" spans="1:2" ht="13.5" thickBot="1">
      <c r="A1" s="982"/>
      <c r="B1" s="982"/>
    </row>
    <row r="2" spans="1:2" ht="13.5" thickBot="1">
      <c r="A2" s="939" t="s">
        <v>1247</v>
      </c>
      <c r="B2" s="983"/>
    </row>
    <row r="3" spans="1:2" ht="13.5" thickBot="1">
      <c r="A3" s="984" t="s">
        <v>764</v>
      </c>
      <c r="B3" s="985"/>
    </row>
    <row r="4" spans="1:2" ht="13.5" thickBot="1">
      <c r="A4" s="455" t="s">
        <v>1248</v>
      </c>
      <c r="B4" s="455" t="s">
        <v>766</v>
      </c>
    </row>
    <row r="5" spans="1:2" ht="26.25" thickBot="1">
      <c r="A5" s="456" t="s">
        <v>1249</v>
      </c>
      <c r="B5" s="457" t="s">
        <v>1250</v>
      </c>
    </row>
    <row r="6" spans="1:2" ht="14.25" thickTop="1" thickBot="1">
      <c r="A6" s="458" t="s">
        <v>1251</v>
      </c>
      <c r="B6" s="457" t="s">
        <v>1252</v>
      </c>
    </row>
    <row r="7" spans="1:2" ht="27" thickTop="1" thickBot="1">
      <c r="A7" s="458" t="s">
        <v>1253</v>
      </c>
      <c r="B7" s="459" t="s">
        <v>1254</v>
      </c>
    </row>
    <row r="8" spans="1:2" ht="52.5" thickTop="1" thickBot="1">
      <c r="A8" s="458" t="s">
        <v>1255</v>
      </c>
      <c r="B8" s="457" t="s">
        <v>1256</v>
      </c>
    </row>
    <row r="9" spans="1:2" ht="52.5" thickTop="1" thickBot="1">
      <c r="A9" s="460" t="s">
        <v>1257</v>
      </c>
      <c r="B9" s="457" t="s">
        <v>1258</v>
      </c>
    </row>
    <row r="10" spans="1:2" ht="27" thickTop="1" thickBot="1">
      <c r="A10" s="460" t="s">
        <v>1259</v>
      </c>
      <c r="B10" s="457" t="s">
        <v>1260</v>
      </c>
    </row>
    <row r="11" spans="1:2" ht="27" thickTop="1" thickBot="1">
      <c r="A11" s="461" t="s">
        <v>1261</v>
      </c>
      <c r="B11" s="459" t="s">
        <v>1262</v>
      </c>
    </row>
    <row r="12" spans="1:2" ht="27" thickTop="1" thickBot="1">
      <c r="A12" s="458" t="s">
        <v>1263</v>
      </c>
      <c r="B12" s="459" t="s">
        <v>1264</v>
      </c>
    </row>
    <row r="13" spans="1:2" ht="90.75" thickTop="1" thickBot="1">
      <c r="A13" s="461" t="s">
        <v>1265</v>
      </c>
      <c r="B13" s="457" t="s">
        <v>1266</v>
      </c>
    </row>
    <row r="14" spans="1:2" ht="39.75" thickTop="1" thickBot="1">
      <c r="A14" s="461" t="s">
        <v>1267</v>
      </c>
      <c r="B14" s="457" t="s">
        <v>1268</v>
      </c>
    </row>
    <row r="15" spans="1:2" ht="78" thickTop="1" thickBot="1">
      <c r="A15" s="462" t="s">
        <v>1269</v>
      </c>
      <c r="B15" s="459" t="s">
        <v>1270</v>
      </c>
    </row>
    <row r="16" spans="1:2" ht="14.25" thickTop="1" thickBot="1">
      <c r="A16" s="458" t="s">
        <v>1271</v>
      </c>
      <c r="B16" s="459" t="s">
        <v>1272</v>
      </c>
    </row>
    <row r="17" spans="1:2" ht="27" thickTop="1" thickBot="1">
      <c r="A17" s="463" t="s">
        <v>1273</v>
      </c>
      <c r="B17" s="459" t="s">
        <v>1274</v>
      </c>
    </row>
    <row r="18" spans="1:2" ht="27" thickTop="1" thickBot="1">
      <c r="A18" s="458" t="s">
        <v>1275</v>
      </c>
      <c r="B18" s="464" t="s">
        <v>1276</v>
      </c>
    </row>
    <row r="19" spans="1:2" ht="13.5" thickTop="1"/>
  </sheetData>
  <mergeCells count="3">
    <mergeCell ref="A1:B1"/>
    <mergeCell ref="A2:B2"/>
    <mergeCell ref="A3:B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G218"/>
  <sheetViews>
    <sheetView topLeftCell="E205" zoomScale="80" zoomScaleNormal="80" zoomScaleSheetLayoutView="100" workbookViewId="0">
      <selection activeCell="I46" sqref="I46"/>
    </sheetView>
  </sheetViews>
  <sheetFormatPr defaultColWidth="14.42578125" defaultRowHeight="15"/>
  <cols>
    <col min="1" max="1" width="16" style="422" customWidth="1"/>
    <col min="2" max="2" width="14.140625" style="422" customWidth="1"/>
    <col min="3" max="3" width="14.42578125" style="422" customWidth="1"/>
    <col min="4" max="4" width="14.5703125" style="422" customWidth="1"/>
    <col min="5" max="7" width="10.7109375" style="422" customWidth="1"/>
    <col min="8" max="8" width="69" style="422" customWidth="1"/>
    <col min="9" max="9" width="20.28515625" style="423" customWidth="1"/>
    <col min="10" max="28" width="20.28515625" style="422" customWidth="1"/>
    <col min="29" max="29" width="51.42578125" style="422" customWidth="1"/>
    <col min="30" max="16384" width="14.42578125" style="422"/>
  </cols>
  <sheetData>
    <row r="1" spans="1:29" ht="48.75" customHeight="1" thickTop="1" thickBot="1">
      <c r="A1" s="986" t="s">
        <v>820</v>
      </c>
      <c r="B1" s="986" t="s">
        <v>821</v>
      </c>
      <c r="C1" s="988" t="s">
        <v>822</v>
      </c>
      <c r="D1" s="986" t="s">
        <v>823</v>
      </c>
      <c r="E1" s="986" t="s">
        <v>824</v>
      </c>
      <c r="F1" s="986" t="s">
        <v>825</v>
      </c>
      <c r="G1" s="986" t="s">
        <v>826</v>
      </c>
      <c r="H1" s="988" t="s">
        <v>1277</v>
      </c>
      <c r="I1" s="990" t="s">
        <v>1278</v>
      </c>
      <c r="J1" s="1257"/>
      <c r="K1" s="1257"/>
      <c r="L1" s="1258"/>
      <c r="M1" s="990" t="s">
        <v>1279</v>
      </c>
      <c r="N1" s="1257"/>
      <c r="O1" s="1257"/>
      <c r="P1" s="1258"/>
      <c r="Q1" s="990" t="s">
        <v>1280</v>
      </c>
      <c r="R1" s="1257"/>
      <c r="S1" s="1257"/>
      <c r="T1" s="1258"/>
      <c r="U1" s="990" t="s">
        <v>1281</v>
      </c>
      <c r="V1" s="1257"/>
      <c r="W1" s="1257"/>
      <c r="X1" s="1258"/>
      <c r="Y1" s="990" t="s">
        <v>1282</v>
      </c>
      <c r="Z1" s="1257"/>
      <c r="AA1" s="1257"/>
      <c r="AB1" s="1258"/>
      <c r="AC1" s="424" t="s">
        <v>1283</v>
      </c>
    </row>
    <row r="2" spans="1:29" ht="30.75" customHeight="1" thickTop="1" thickBot="1">
      <c r="A2" s="987"/>
      <c r="B2" s="987"/>
      <c r="C2" s="989"/>
      <c r="D2" s="987"/>
      <c r="E2" s="987"/>
      <c r="F2" s="987"/>
      <c r="G2" s="987"/>
      <c r="H2" s="989"/>
      <c r="I2" s="425" t="s">
        <v>1284</v>
      </c>
      <c r="J2" s="823" t="s">
        <v>1285</v>
      </c>
      <c r="K2" s="823" t="s">
        <v>1286</v>
      </c>
      <c r="L2" s="823" t="s">
        <v>1287</v>
      </c>
      <c r="M2" s="823" t="s">
        <v>1284</v>
      </c>
      <c r="N2" s="823" t="s">
        <v>1285</v>
      </c>
      <c r="O2" s="823" t="s">
        <v>1286</v>
      </c>
      <c r="P2" s="823" t="s">
        <v>1287</v>
      </c>
      <c r="Q2" s="823" t="s">
        <v>1284</v>
      </c>
      <c r="R2" s="823" t="s">
        <v>1285</v>
      </c>
      <c r="S2" s="823" t="s">
        <v>1286</v>
      </c>
      <c r="T2" s="823" t="s">
        <v>1287</v>
      </c>
      <c r="U2" s="823" t="s">
        <v>1284</v>
      </c>
      <c r="V2" s="823" t="s">
        <v>1285</v>
      </c>
      <c r="W2" s="823" t="s">
        <v>1286</v>
      </c>
      <c r="X2" s="823" t="s">
        <v>1287</v>
      </c>
      <c r="Y2" s="823" t="s">
        <v>1284</v>
      </c>
      <c r="Z2" s="823" t="s">
        <v>1285</v>
      </c>
      <c r="AA2" s="823" t="s">
        <v>1286</v>
      </c>
      <c r="AB2" s="823" t="s">
        <v>1288</v>
      </c>
      <c r="AC2" s="823"/>
    </row>
    <row r="3" spans="1:29" ht="16.5" thickTop="1" thickBot="1">
      <c r="A3" s="426" t="s">
        <v>1289</v>
      </c>
      <c r="B3" s="426" t="s">
        <v>839</v>
      </c>
      <c r="C3" s="426"/>
      <c r="D3" s="426"/>
      <c r="E3" s="426"/>
      <c r="F3" s="426"/>
      <c r="G3" s="426"/>
      <c r="H3" s="427" t="s">
        <v>1290</v>
      </c>
      <c r="I3" s="580">
        <f>+I4+I5+I8+I23</f>
        <v>11779883189.34</v>
      </c>
      <c r="J3" s="580">
        <f t="shared" ref="J3:X3" si="0">+J4+J5+J8+J23</f>
        <v>11332646810</v>
      </c>
      <c r="K3" s="580">
        <f t="shared" si="0"/>
        <v>10816313423</v>
      </c>
      <c r="L3" s="580">
        <f t="shared" si="0"/>
        <v>10144803517</v>
      </c>
      <c r="M3" s="580">
        <f t="shared" si="0"/>
        <v>2133500000</v>
      </c>
      <c r="N3" s="580">
        <f t="shared" si="0"/>
        <v>2123400000</v>
      </c>
      <c r="O3" s="580">
        <f t="shared" si="0"/>
        <v>2123400000</v>
      </c>
      <c r="P3" s="580">
        <f t="shared" si="0"/>
        <v>2123400000</v>
      </c>
      <c r="Q3" s="580">
        <f t="shared" si="0"/>
        <v>0</v>
      </c>
      <c r="R3" s="580">
        <f t="shared" si="0"/>
        <v>0</v>
      </c>
      <c r="S3" s="580">
        <f t="shared" si="0"/>
        <v>0</v>
      </c>
      <c r="T3" s="580">
        <f t="shared" si="0"/>
        <v>0</v>
      </c>
      <c r="U3" s="580">
        <f t="shared" si="0"/>
        <v>0</v>
      </c>
      <c r="V3" s="580">
        <f t="shared" si="0"/>
        <v>0</v>
      </c>
      <c r="W3" s="580">
        <f t="shared" si="0"/>
        <v>0</v>
      </c>
      <c r="X3" s="580">
        <f t="shared" si="0"/>
        <v>0</v>
      </c>
      <c r="Y3" s="580">
        <f>+I3+M3+Q3+U3</f>
        <v>13913383189.34</v>
      </c>
      <c r="Z3" s="694">
        <f t="shared" ref="Z3:AB18" si="1">+J3+N3+R3+V3</f>
        <v>13456046810</v>
      </c>
      <c r="AA3" s="580">
        <f t="shared" si="1"/>
        <v>12939713423</v>
      </c>
      <c r="AB3" s="580">
        <f t="shared" si="1"/>
        <v>12268203517</v>
      </c>
      <c r="AC3" s="428"/>
    </row>
    <row r="4" spans="1:29" ht="16.5" thickTop="1" thickBot="1">
      <c r="A4" s="429" t="s">
        <v>1289</v>
      </c>
      <c r="B4" s="429" t="s">
        <v>839</v>
      </c>
      <c r="C4" s="429" t="s">
        <v>839</v>
      </c>
      <c r="D4" s="429"/>
      <c r="E4" s="429"/>
      <c r="F4" s="429"/>
      <c r="G4" s="429"/>
      <c r="H4" s="430" t="s">
        <v>1291</v>
      </c>
      <c r="I4" s="581">
        <v>3507036434</v>
      </c>
      <c r="J4" s="581">
        <v>3473637251</v>
      </c>
      <c r="K4" s="581">
        <v>3473637251</v>
      </c>
      <c r="L4" s="581">
        <v>3354166676</v>
      </c>
      <c r="M4" s="581">
        <v>2123400000</v>
      </c>
      <c r="N4" s="581">
        <v>2123400000</v>
      </c>
      <c r="O4" s="581">
        <v>2123400000</v>
      </c>
      <c r="P4" s="581">
        <v>2123400000</v>
      </c>
      <c r="Q4" s="581"/>
      <c r="R4" s="581"/>
      <c r="S4" s="581"/>
      <c r="T4" s="581"/>
      <c r="U4" s="581"/>
      <c r="V4" s="581"/>
      <c r="W4" s="581"/>
      <c r="X4" s="581"/>
      <c r="Y4" s="581">
        <f t="shared" ref="Y4:Y8" si="2">+I4+M4+Q4+U4</f>
        <v>5630436434</v>
      </c>
      <c r="Z4" s="581">
        <f t="shared" si="1"/>
        <v>5597037251</v>
      </c>
      <c r="AA4" s="581">
        <f t="shared" si="1"/>
        <v>5597037251</v>
      </c>
      <c r="AB4" s="581">
        <f t="shared" si="1"/>
        <v>5477566676</v>
      </c>
      <c r="AC4" s="428"/>
    </row>
    <row r="5" spans="1:29" ht="16.5" thickTop="1" thickBot="1">
      <c r="A5" s="431">
        <v>2</v>
      </c>
      <c r="B5" s="429" t="s">
        <v>839</v>
      </c>
      <c r="C5" s="429" t="s">
        <v>852</v>
      </c>
      <c r="D5" s="429"/>
      <c r="E5" s="429"/>
      <c r="F5" s="429"/>
      <c r="G5" s="429"/>
      <c r="H5" s="430" t="s">
        <v>1292</v>
      </c>
      <c r="I5" s="581">
        <f>+I6+I7</f>
        <v>3731278681.2399998</v>
      </c>
      <c r="J5" s="581">
        <f t="shared" ref="J5:X5" si="3">+J6+J7</f>
        <v>3357223943</v>
      </c>
      <c r="K5" s="581">
        <f t="shared" si="3"/>
        <v>2840890556</v>
      </c>
      <c r="L5" s="581">
        <f t="shared" si="3"/>
        <v>2757300392</v>
      </c>
      <c r="M5" s="581">
        <f t="shared" si="3"/>
        <v>0</v>
      </c>
      <c r="N5" s="581">
        <f t="shared" si="3"/>
        <v>0</v>
      </c>
      <c r="O5" s="581">
        <f t="shared" si="3"/>
        <v>0</v>
      </c>
      <c r="P5" s="581">
        <f t="shared" si="3"/>
        <v>0</v>
      </c>
      <c r="Q5" s="581">
        <f t="shared" si="3"/>
        <v>0</v>
      </c>
      <c r="R5" s="581">
        <f t="shared" si="3"/>
        <v>0</v>
      </c>
      <c r="S5" s="581">
        <f t="shared" si="3"/>
        <v>0</v>
      </c>
      <c r="T5" s="581">
        <f t="shared" si="3"/>
        <v>0</v>
      </c>
      <c r="U5" s="581">
        <f t="shared" si="3"/>
        <v>0</v>
      </c>
      <c r="V5" s="581">
        <f t="shared" si="3"/>
        <v>0</v>
      </c>
      <c r="W5" s="581">
        <f t="shared" si="3"/>
        <v>0</v>
      </c>
      <c r="X5" s="581">
        <f t="shared" si="3"/>
        <v>0</v>
      </c>
      <c r="Y5" s="581">
        <f t="shared" si="2"/>
        <v>3731278681.2399998</v>
      </c>
      <c r="Z5" s="581">
        <f t="shared" si="1"/>
        <v>3357223943</v>
      </c>
      <c r="AA5" s="581">
        <f t="shared" si="1"/>
        <v>2840890556</v>
      </c>
      <c r="AB5" s="581">
        <f t="shared" si="1"/>
        <v>2757300392</v>
      </c>
      <c r="AC5" s="428"/>
    </row>
    <row r="6" spans="1:29" ht="16.5" thickTop="1" thickBot="1">
      <c r="A6" s="432">
        <v>2</v>
      </c>
      <c r="B6" s="433" t="s">
        <v>839</v>
      </c>
      <c r="C6" s="433" t="s">
        <v>852</v>
      </c>
      <c r="D6" s="433" t="s">
        <v>839</v>
      </c>
      <c r="E6" s="434"/>
      <c r="F6" s="434"/>
      <c r="G6" s="434"/>
      <c r="H6" s="435" t="s">
        <v>1293</v>
      </c>
      <c r="I6" s="582">
        <v>5000000</v>
      </c>
      <c r="J6" s="582">
        <v>4255392</v>
      </c>
      <c r="K6" s="582">
        <v>4255392</v>
      </c>
      <c r="L6" s="582">
        <v>4255392</v>
      </c>
      <c r="M6" s="582"/>
      <c r="N6" s="582"/>
      <c r="O6" s="582"/>
      <c r="P6" s="582"/>
      <c r="Q6" s="582"/>
      <c r="R6" s="582"/>
      <c r="S6" s="582"/>
      <c r="T6" s="582"/>
      <c r="U6" s="582"/>
      <c r="V6" s="582"/>
      <c r="W6" s="582"/>
      <c r="X6" s="582"/>
      <c r="Y6" s="582">
        <f t="shared" si="2"/>
        <v>5000000</v>
      </c>
      <c r="Z6" s="582">
        <f t="shared" si="1"/>
        <v>4255392</v>
      </c>
      <c r="AA6" s="582">
        <f t="shared" si="1"/>
        <v>4255392</v>
      </c>
      <c r="AB6" s="582">
        <f t="shared" si="1"/>
        <v>4255392</v>
      </c>
      <c r="AC6" s="428"/>
    </row>
    <row r="7" spans="1:29" ht="16.5" thickTop="1" thickBot="1">
      <c r="A7" s="432">
        <v>2</v>
      </c>
      <c r="B7" s="433" t="s">
        <v>839</v>
      </c>
      <c r="C7" s="433" t="s">
        <v>852</v>
      </c>
      <c r="D7" s="433" t="s">
        <v>839</v>
      </c>
      <c r="E7" s="434"/>
      <c r="F7" s="434"/>
      <c r="G7" s="434"/>
      <c r="H7" s="435" t="s">
        <v>1294</v>
      </c>
      <c r="I7" s="582">
        <v>3726278681.2399998</v>
      </c>
      <c r="J7" s="582">
        <v>3352968551</v>
      </c>
      <c r="K7" s="582">
        <v>2836635164</v>
      </c>
      <c r="L7" s="582">
        <v>2753045000</v>
      </c>
      <c r="M7" s="582"/>
      <c r="N7" s="582"/>
      <c r="O7" s="582"/>
      <c r="P7" s="582"/>
      <c r="Q7" s="582"/>
      <c r="R7" s="582"/>
      <c r="S7" s="582"/>
      <c r="T7" s="582"/>
      <c r="U7" s="582"/>
      <c r="V7" s="582"/>
      <c r="W7" s="582"/>
      <c r="X7" s="582"/>
      <c r="Y7" s="582">
        <f t="shared" si="2"/>
        <v>3726278681.2399998</v>
      </c>
      <c r="Z7" s="582">
        <f t="shared" si="1"/>
        <v>3352968551</v>
      </c>
      <c r="AA7" s="582">
        <f t="shared" si="1"/>
        <v>2836635164</v>
      </c>
      <c r="AB7" s="582">
        <f t="shared" si="1"/>
        <v>2753045000</v>
      </c>
      <c r="AC7" s="428"/>
    </row>
    <row r="8" spans="1:29" ht="16.5" thickTop="1" thickBot="1">
      <c r="A8" s="431">
        <v>2</v>
      </c>
      <c r="B8" s="429" t="s">
        <v>839</v>
      </c>
      <c r="C8" s="429" t="s">
        <v>854</v>
      </c>
      <c r="D8" s="429"/>
      <c r="E8" s="429"/>
      <c r="F8" s="429"/>
      <c r="G8" s="429"/>
      <c r="H8" s="430" t="s">
        <v>1295</v>
      </c>
      <c r="I8" s="581">
        <f>+I9+I14+I20</f>
        <v>4276414900.5999999</v>
      </c>
      <c r="J8" s="581">
        <f t="shared" ref="J8:X8" si="4">+J9+J14+J20</f>
        <v>4259360786</v>
      </c>
      <c r="K8" s="581">
        <f t="shared" si="4"/>
        <v>4259360786</v>
      </c>
      <c r="L8" s="581">
        <f t="shared" si="4"/>
        <v>4004257809</v>
      </c>
      <c r="M8" s="581">
        <f t="shared" si="4"/>
        <v>0</v>
      </c>
      <c r="N8" s="581">
        <f t="shared" si="4"/>
        <v>0</v>
      </c>
      <c r="O8" s="581">
        <f t="shared" si="4"/>
        <v>0</v>
      </c>
      <c r="P8" s="581">
        <f t="shared" si="4"/>
        <v>0</v>
      </c>
      <c r="Q8" s="581">
        <f t="shared" si="4"/>
        <v>0</v>
      </c>
      <c r="R8" s="581">
        <f t="shared" si="4"/>
        <v>0</v>
      </c>
      <c r="S8" s="581">
        <f t="shared" si="4"/>
        <v>0</v>
      </c>
      <c r="T8" s="581">
        <f t="shared" si="4"/>
        <v>0</v>
      </c>
      <c r="U8" s="581">
        <f t="shared" si="4"/>
        <v>0</v>
      </c>
      <c r="V8" s="581">
        <f t="shared" si="4"/>
        <v>0</v>
      </c>
      <c r="W8" s="581">
        <f t="shared" si="4"/>
        <v>0</v>
      </c>
      <c r="X8" s="581">
        <f t="shared" si="4"/>
        <v>0</v>
      </c>
      <c r="Y8" s="581">
        <f t="shared" si="2"/>
        <v>4276414900.5999999</v>
      </c>
      <c r="Z8" s="581">
        <f t="shared" si="1"/>
        <v>4259360786</v>
      </c>
      <c r="AA8" s="581">
        <f t="shared" si="1"/>
        <v>4259360786</v>
      </c>
      <c r="AB8" s="581">
        <f t="shared" si="1"/>
        <v>4004257809</v>
      </c>
      <c r="AC8" s="428"/>
    </row>
    <row r="9" spans="1:29" s="436" customFormat="1" ht="16.5" thickTop="1" thickBot="1">
      <c r="A9" s="437">
        <v>2</v>
      </c>
      <c r="B9" s="438" t="s">
        <v>839</v>
      </c>
      <c r="C9" s="438" t="s">
        <v>854</v>
      </c>
      <c r="D9" s="438" t="s">
        <v>839</v>
      </c>
      <c r="E9" s="438"/>
      <c r="F9" s="438"/>
      <c r="G9" s="438"/>
      <c r="H9" s="439" t="s">
        <v>1296</v>
      </c>
      <c r="I9" s="583">
        <f>+I10</f>
        <v>4225494068</v>
      </c>
      <c r="J9" s="583">
        <f t="shared" ref="J9:AB10" si="5">+J10</f>
        <v>4211597045</v>
      </c>
      <c r="K9" s="583">
        <f t="shared" si="5"/>
        <v>4211597045</v>
      </c>
      <c r="L9" s="583">
        <f t="shared" si="5"/>
        <v>3956494068</v>
      </c>
      <c r="M9" s="583">
        <f t="shared" si="5"/>
        <v>0</v>
      </c>
      <c r="N9" s="583">
        <f t="shared" si="5"/>
        <v>0</v>
      </c>
      <c r="O9" s="583">
        <f t="shared" si="5"/>
        <v>0</v>
      </c>
      <c r="P9" s="583">
        <f t="shared" si="5"/>
        <v>0</v>
      </c>
      <c r="Q9" s="583">
        <f t="shared" si="5"/>
        <v>0</v>
      </c>
      <c r="R9" s="583">
        <f t="shared" si="5"/>
        <v>0</v>
      </c>
      <c r="S9" s="583">
        <f t="shared" si="5"/>
        <v>0</v>
      </c>
      <c r="T9" s="583">
        <f t="shared" si="5"/>
        <v>0</v>
      </c>
      <c r="U9" s="583">
        <f t="shared" si="5"/>
        <v>0</v>
      </c>
      <c r="V9" s="583">
        <f t="shared" si="5"/>
        <v>0</v>
      </c>
      <c r="W9" s="583">
        <f t="shared" si="5"/>
        <v>0</v>
      </c>
      <c r="X9" s="583">
        <f t="shared" si="5"/>
        <v>0</v>
      </c>
      <c r="Y9" s="583">
        <f t="shared" si="5"/>
        <v>4225494068</v>
      </c>
      <c r="Z9" s="583">
        <f t="shared" si="5"/>
        <v>4211597045</v>
      </c>
      <c r="AA9" s="583">
        <f t="shared" si="5"/>
        <v>4211597045</v>
      </c>
      <c r="AB9" s="583">
        <f t="shared" si="5"/>
        <v>3956494068</v>
      </c>
      <c r="AC9" s="428"/>
    </row>
    <row r="10" spans="1:29" s="436" customFormat="1" ht="16.5" thickTop="1" thickBot="1">
      <c r="A10" s="432"/>
      <c r="B10" s="433" t="s">
        <v>839</v>
      </c>
      <c r="C10" s="433" t="s">
        <v>854</v>
      </c>
      <c r="D10" s="433" t="s">
        <v>839</v>
      </c>
      <c r="E10" s="433" t="s">
        <v>839</v>
      </c>
      <c r="F10" s="433"/>
      <c r="G10" s="433"/>
      <c r="H10" s="435" t="s">
        <v>1297</v>
      </c>
      <c r="I10" s="584">
        <f>+I11</f>
        <v>4225494068</v>
      </c>
      <c r="J10" s="584">
        <f t="shared" si="5"/>
        <v>4211597045</v>
      </c>
      <c r="K10" s="584">
        <f t="shared" si="5"/>
        <v>4211597045</v>
      </c>
      <c r="L10" s="584">
        <f t="shared" si="5"/>
        <v>3956494068</v>
      </c>
      <c r="M10" s="584">
        <f t="shared" si="5"/>
        <v>0</v>
      </c>
      <c r="N10" s="584">
        <f t="shared" si="5"/>
        <v>0</v>
      </c>
      <c r="O10" s="584">
        <f t="shared" si="5"/>
        <v>0</v>
      </c>
      <c r="P10" s="584">
        <f t="shared" si="5"/>
        <v>0</v>
      </c>
      <c r="Q10" s="584">
        <f t="shared" si="5"/>
        <v>0</v>
      </c>
      <c r="R10" s="584">
        <f t="shared" si="5"/>
        <v>0</v>
      </c>
      <c r="S10" s="584">
        <f t="shared" si="5"/>
        <v>0</v>
      </c>
      <c r="T10" s="584">
        <f t="shared" si="5"/>
        <v>0</v>
      </c>
      <c r="U10" s="584">
        <f t="shared" si="5"/>
        <v>0</v>
      </c>
      <c r="V10" s="584">
        <f t="shared" si="5"/>
        <v>0</v>
      </c>
      <c r="W10" s="584">
        <f t="shared" si="5"/>
        <v>0</v>
      </c>
      <c r="X10" s="584">
        <f t="shared" si="5"/>
        <v>0</v>
      </c>
      <c r="Y10" s="584">
        <f t="shared" ref="Y10:AB45" si="6">+I10+M10+Q10+U10</f>
        <v>4225494068</v>
      </c>
      <c r="Z10" s="584">
        <f t="shared" si="1"/>
        <v>4211597045</v>
      </c>
      <c r="AA10" s="584">
        <f t="shared" si="1"/>
        <v>4211597045</v>
      </c>
      <c r="AB10" s="584">
        <f t="shared" si="1"/>
        <v>3956494068</v>
      </c>
      <c r="AC10" s="428"/>
    </row>
    <row r="11" spans="1:29" s="440" customFormat="1" ht="16.5" thickTop="1" thickBot="1">
      <c r="A11" s="432">
        <v>2</v>
      </c>
      <c r="B11" s="433" t="s">
        <v>839</v>
      </c>
      <c r="C11" s="433" t="s">
        <v>854</v>
      </c>
      <c r="D11" s="433" t="s">
        <v>839</v>
      </c>
      <c r="E11" s="433" t="s">
        <v>839</v>
      </c>
      <c r="F11" s="433" t="s">
        <v>839</v>
      </c>
      <c r="G11" s="434"/>
      <c r="H11" s="435" t="s">
        <v>1298</v>
      </c>
      <c r="I11" s="582">
        <f>+I12+I13</f>
        <v>4225494068</v>
      </c>
      <c r="J11" s="582">
        <f>+J12+J13</f>
        <v>4211597045</v>
      </c>
      <c r="K11" s="582">
        <f t="shared" ref="K11:X11" si="7">+K12+K13</f>
        <v>4211597045</v>
      </c>
      <c r="L11" s="582">
        <f t="shared" si="7"/>
        <v>3956494068</v>
      </c>
      <c r="M11" s="582">
        <f t="shared" si="7"/>
        <v>0</v>
      </c>
      <c r="N11" s="582">
        <f t="shared" si="7"/>
        <v>0</v>
      </c>
      <c r="O11" s="582">
        <f t="shared" si="7"/>
        <v>0</v>
      </c>
      <c r="P11" s="582">
        <f t="shared" si="7"/>
        <v>0</v>
      </c>
      <c r="Q11" s="582">
        <f t="shared" si="7"/>
        <v>0</v>
      </c>
      <c r="R11" s="582">
        <f t="shared" si="7"/>
        <v>0</v>
      </c>
      <c r="S11" s="582">
        <f t="shared" si="7"/>
        <v>0</v>
      </c>
      <c r="T11" s="582">
        <f t="shared" si="7"/>
        <v>0</v>
      </c>
      <c r="U11" s="582">
        <f t="shared" si="7"/>
        <v>0</v>
      </c>
      <c r="V11" s="582">
        <f t="shared" si="7"/>
        <v>0</v>
      </c>
      <c r="W11" s="582">
        <f t="shared" si="7"/>
        <v>0</v>
      </c>
      <c r="X11" s="582">
        <f t="shared" si="7"/>
        <v>0</v>
      </c>
      <c r="Y11" s="582">
        <f t="shared" si="6"/>
        <v>4225494068</v>
      </c>
      <c r="Z11" s="582">
        <f t="shared" si="1"/>
        <v>4211597045</v>
      </c>
      <c r="AA11" s="582">
        <f t="shared" si="1"/>
        <v>4211597045</v>
      </c>
      <c r="AB11" s="582">
        <f t="shared" si="1"/>
        <v>3956494068</v>
      </c>
      <c r="AC11" s="428"/>
    </row>
    <row r="12" spans="1:29" ht="16.5" thickTop="1" thickBot="1">
      <c r="A12" s="432">
        <v>2</v>
      </c>
      <c r="B12" s="433" t="s">
        <v>839</v>
      </c>
      <c r="C12" s="433" t="s">
        <v>854</v>
      </c>
      <c r="D12" s="433" t="s">
        <v>839</v>
      </c>
      <c r="E12" s="433" t="s">
        <v>839</v>
      </c>
      <c r="F12" s="433" t="s">
        <v>839</v>
      </c>
      <c r="G12" s="433" t="s">
        <v>839</v>
      </c>
      <c r="H12" s="435" t="s">
        <v>1299</v>
      </c>
      <c r="I12" s="582">
        <v>4225494068</v>
      </c>
      <c r="J12" s="582">
        <v>4211597045</v>
      </c>
      <c r="K12" s="582">
        <v>4211597045</v>
      </c>
      <c r="L12" s="582">
        <v>3956494068</v>
      </c>
      <c r="M12" s="582"/>
      <c r="N12" s="582"/>
      <c r="O12" s="582"/>
      <c r="P12" s="582"/>
      <c r="Q12" s="582"/>
      <c r="R12" s="582"/>
      <c r="S12" s="582"/>
      <c r="T12" s="582"/>
      <c r="U12" s="582"/>
      <c r="V12" s="582"/>
      <c r="W12" s="582"/>
      <c r="X12" s="582"/>
      <c r="Y12" s="582">
        <f t="shared" si="6"/>
        <v>4225494068</v>
      </c>
      <c r="Z12" s="582">
        <f>+J12+N12+R12+V12</f>
        <v>4211597045</v>
      </c>
      <c r="AA12" s="582">
        <f t="shared" si="1"/>
        <v>4211597045</v>
      </c>
      <c r="AB12" s="582">
        <f t="shared" si="1"/>
        <v>3956494068</v>
      </c>
      <c r="AC12" s="428"/>
    </row>
    <row r="13" spans="1:29" ht="16.5" thickTop="1" thickBot="1">
      <c r="A13" s="432">
        <v>2</v>
      </c>
      <c r="B13" s="433" t="s">
        <v>839</v>
      </c>
      <c r="C13" s="433" t="s">
        <v>854</v>
      </c>
      <c r="D13" s="433" t="s">
        <v>839</v>
      </c>
      <c r="E13" s="433" t="s">
        <v>839</v>
      </c>
      <c r="F13" s="433" t="s">
        <v>839</v>
      </c>
      <c r="G13" s="433" t="s">
        <v>852</v>
      </c>
      <c r="H13" s="435" t="s">
        <v>1300</v>
      </c>
      <c r="I13" s="582">
        <v>0</v>
      </c>
      <c r="J13" s="582">
        <v>0</v>
      </c>
      <c r="K13" s="582">
        <v>0</v>
      </c>
      <c r="L13" s="582">
        <v>0</v>
      </c>
      <c r="M13" s="582"/>
      <c r="N13" s="582"/>
      <c r="O13" s="582"/>
      <c r="P13" s="582"/>
      <c r="Q13" s="582"/>
      <c r="R13" s="582"/>
      <c r="S13" s="582"/>
      <c r="T13" s="582"/>
      <c r="U13" s="582"/>
      <c r="V13" s="582"/>
      <c r="W13" s="582"/>
      <c r="X13" s="582"/>
      <c r="Y13" s="582">
        <f t="shared" si="6"/>
        <v>0</v>
      </c>
      <c r="Z13" s="582">
        <f>+J13+N13+R13+V13</f>
        <v>0</v>
      </c>
      <c r="AA13" s="582">
        <f t="shared" si="1"/>
        <v>0</v>
      </c>
      <c r="AB13" s="582">
        <f t="shared" si="1"/>
        <v>0</v>
      </c>
      <c r="AC13" s="428"/>
    </row>
    <row r="14" spans="1:29" ht="16.5" thickTop="1" thickBot="1">
      <c r="A14" s="432">
        <v>2</v>
      </c>
      <c r="B14" s="433" t="s">
        <v>839</v>
      </c>
      <c r="C14" s="433" t="s">
        <v>854</v>
      </c>
      <c r="D14" s="433" t="s">
        <v>839</v>
      </c>
      <c r="E14" s="433" t="s">
        <v>852</v>
      </c>
      <c r="F14" s="434"/>
      <c r="G14" s="434"/>
      <c r="H14" s="435" t="s">
        <v>1301</v>
      </c>
      <c r="I14" s="582">
        <f>+I15</f>
        <v>50920832.600000001</v>
      </c>
      <c r="J14" s="582">
        <f t="shared" ref="J14:X14" si="8">+J15</f>
        <v>47763741</v>
      </c>
      <c r="K14" s="582">
        <f t="shared" si="8"/>
        <v>47763741</v>
      </c>
      <c r="L14" s="582">
        <f t="shared" si="8"/>
        <v>47763741</v>
      </c>
      <c r="M14" s="582">
        <f t="shared" si="8"/>
        <v>0</v>
      </c>
      <c r="N14" s="582">
        <f t="shared" si="8"/>
        <v>0</v>
      </c>
      <c r="O14" s="582">
        <f t="shared" si="8"/>
        <v>0</v>
      </c>
      <c r="P14" s="582">
        <f t="shared" si="8"/>
        <v>0</v>
      </c>
      <c r="Q14" s="582">
        <f t="shared" si="8"/>
        <v>0</v>
      </c>
      <c r="R14" s="582">
        <f t="shared" si="8"/>
        <v>0</v>
      </c>
      <c r="S14" s="582">
        <f t="shared" si="8"/>
        <v>0</v>
      </c>
      <c r="T14" s="582">
        <f t="shared" si="8"/>
        <v>0</v>
      </c>
      <c r="U14" s="582">
        <f t="shared" si="8"/>
        <v>0</v>
      </c>
      <c r="V14" s="582">
        <f t="shared" si="8"/>
        <v>0</v>
      </c>
      <c r="W14" s="582">
        <f t="shared" si="8"/>
        <v>0</v>
      </c>
      <c r="X14" s="582">
        <f t="shared" si="8"/>
        <v>0</v>
      </c>
      <c r="Y14" s="582">
        <f t="shared" si="6"/>
        <v>50920832.600000001</v>
      </c>
      <c r="Z14" s="582">
        <f t="shared" si="1"/>
        <v>47763741</v>
      </c>
      <c r="AA14" s="582">
        <f t="shared" si="1"/>
        <v>47763741</v>
      </c>
      <c r="AB14" s="582">
        <f t="shared" si="1"/>
        <v>47763741</v>
      </c>
      <c r="AC14" s="428"/>
    </row>
    <row r="15" spans="1:29" ht="16.5" thickTop="1" thickBot="1">
      <c r="A15" s="432">
        <v>2</v>
      </c>
      <c r="B15" s="433" t="s">
        <v>839</v>
      </c>
      <c r="C15" s="433" t="s">
        <v>854</v>
      </c>
      <c r="D15" s="433" t="s">
        <v>839</v>
      </c>
      <c r="E15" s="433" t="s">
        <v>852</v>
      </c>
      <c r="F15" s="433" t="s">
        <v>839</v>
      </c>
      <c r="G15" s="433"/>
      <c r="H15" s="435" t="s">
        <v>1302</v>
      </c>
      <c r="I15" s="582">
        <v>50920832.600000001</v>
      </c>
      <c r="J15" s="582">
        <v>47763741</v>
      </c>
      <c r="K15" s="582">
        <v>47763741</v>
      </c>
      <c r="L15" s="582">
        <v>47763741</v>
      </c>
      <c r="M15" s="582"/>
      <c r="N15" s="582"/>
      <c r="O15" s="582"/>
      <c r="P15" s="582"/>
      <c r="Q15" s="582"/>
      <c r="R15" s="582"/>
      <c r="S15" s="582"/>
      <c r="T15" s="582"/>
      <c r="U15" s="582"/>
      <c r="V15" s="582"/>
      <c r="W15" s="582"/>
      <c r="X15" s="582"/>
      <c r="Y15" s="582">
        <f t="shared" si="6"/>
        <v>50920832.600000001</v>
      </c>
      <c r="Z15" s="582">
        <f t="shared" si="1"/>
        <v>47763741</v>
      </c>
      <c r="AA15" s="582">
        <f t="shared" si="1"/>
        <v>47763741</v>
      </c>
      <c r="AB15" s="582">
        <f t="shared" si="1"/>
        <v>47763741</v>
      </c>
      <c r="AC15" s="428"/>
    </row>
    <row r="16" spans="1:29" ht="16.5" thickTop="1" thickBot="1">
      <c r="A16" s="437">
        <v>2</v>
      </c>
      <c r="B16" s="438" t="s">
        <v>839</v>
      </c>
      <c r="C16" s="438" t="s">
        <v>854</v>
      </c>
      <c r="D16" s="438" t="s">
        <v>852</v>
      </c>
      <c r="E16" s="438"/>
      <c r="F16" s="438"/>
      <c r="G16" s="438"/>
      <c r="H16" s="439" t="s">
        <v>1303</v>
      </c>
      <c r="I16" s="583">
        <f>+I17</f>
        <v>0</v>
      </c>
      <c r="J16" s="583">
        <f t="shared" ref="J16:X16" si="9">+J17</f>
        <v>0</v>
      </c>
      <c r="K16" s="583">
        <f t="shared" si="9"/>
        <v>0</v>
      </c>
      <c r="L16" s="583">
        <f t="shared" si="9"/>
        <v>0</v>
      </c>
      <c r="M16" s="583">
        <f t="shared" si="9"/>
        <v>0</v>
      </c>
      <c r="N16" s="583">
        <f t="shared" si="9"/>
        <v>0</v>
      </c>
      <c r="O16" s="583">
        <f t="shared" si="9"/>
        <v>0</v>
      </c>
      <c r="P16" s="583">
        <f t="shared" si="9"/>
        <v>0</v>
      </c>
      <c r="Q16" s="583">
        <f t="shared" si="9"/>
        <v>0</v>
      </c>
      <c r="R16" s="583">
        <f t="shared" si="9"/>
        <v>0</v>
      </c>
      <c r="S16" s="583">
        <f t="shared" si="9"/>
        <v>0</v>
      </c>
      <c r="T16" s="583">
        <f t="shared" si="9"/>
        <v>0</v>
      </c>
      <c r="U16" s="583">
        <f t="shared" si="9"/>
        <v>0</v>
      </c>
      <c r="V16" s="583">
        <f t="shared" si="9"/>
        <v>0</v>
      </c>
      <c r="W16" s="583">
        <f t="shared" si="9"/>
        <v>0</v>
      </c>
      <c r="X16" s="583">
        <f t="shared" si="9"/>
        <v>0</v>
      </c>
      <c r="Y16" s="583">
        <f t="shared" si="6"/>
        <v>0</v>
      </c>
      <c r="Z16" s="583">
        <f t="shared" si="1"/>
        <v>0</v>
      </c>
      <c r="AA16" s="583">
        <f t="shared" si="1"/>
        <v>0</v>
      </c>
      <c r="AB16" s="583">
        <f t="shared" si="1"/>
        <v>0</v>
      </c>
      <c r="AC16" s="428"/>
    </row>
    <row r="17" spans="1:29" s="436" customFormat="1" ht="16.5" thickTop="1" thickBot="1">
      <c r="A17" s="432">
        <v>2</v>
      </c>
      <c r="B17" s="433" t="s">
        <v>839</v>
      </c>
      <c r="C17" s="433" t="s">
        <v>854</v>
      </c>
      <c r="D17" s="433" t="s">
        <v>852</v>
      </c>
      <c r="E17" s="433" t="s">
        <v>839</v>
      </c>
      <c r="F17" s="433"/>
      <c r="G17" s="433"/>
      <c r="H17" s="435" t="s">
        <v>1304</v>
      </c>
      <c r="I17" s="582">
        <f>+I18+I19</f>
        <v>0</v>
      </c>
      <c r="J17" s="582">
        <f t="shared" ref="J17:X17" si="10">+J18+J19</f>
        <v>0</v>
      </c>
      <c r="K17" s="582">
        <f t="shared" si="10"/>
        <v>0</v>
      </c>
      <c r="L17" s="582">
        <f t="shared" si="10"/>
        <v>0</v>
      </c>
      <c r="M17" s="582">
        <f t="shared" si="10"/>
        <v>0</v>
      </c>
      <c r="N17" s="582">
        <f t="shared" si="10"/>
        <v>0</v>
      </c>
      <c r="O17" s="582">
        <f t="shared" si="10"/>
        <v>0</v>
      </c>
      <c r="P17" s="582">
        <f t="shared" si="10"/>
        <v>0</v>
      </c>
      <c r="Q17" s="582">
        <f t="shared" si="10"/>
        <v>0</v>
      </c>
      <c r="R17" s="582">
        <f t="shared" si="10"/>
        <v>0</v>
      </c>
      <c r="S17" s="582">
        <f t="shared" si="10"/>
        <v>0</v>
      </c>
      <c r="T17" s="582">
        <f t="shared" si="10"/>
        <v>0</v>
      </c>
      <c r="U17" s="582">
        <f t="shared" si="10"/>
        <v>0</v>
      </c>
      <c r="V17" s="582">
        <f t="shared" si="10"/>
        <v>0</v>
      </c>
      <c r="W17" s="582">
        <f t="shared" si="10"/>
        <v>0</v>
      </c>
      <c r="X17" s="582">
        <f t="shared" si="10"/>
        <v>0</v>
      </c>
      <c r="Y17" s="582">
        <f t="shared" si="6"/>
        <v>0</v>
      </c>
      <c r="Z17" s="582">
        <f t="shared" si="1"/>
        <v>0</v>
      </c>
      <c r="AA17" s="582">
        <f t="shared" si="1"/>
        <v>0</v>
      </c>
      <c r="AB17" s="582">
        <f t="shared" si="1"/>
        <v>0</v>
      </c>
      <c r="AC17" s="428"/>
    </row>
    <row r="18" spans="1:29" ht="16.5" thickTop="1" thickBot="1">
      <c r="A18" s="432">
        <v>2</v>
      </c>
      <c r="B18" s="433" t="s">
        <v>839</v>
      </c>
      <c r="C18" s="433" t="s">
        <v>854</v>
      </c>
      <c r="D18" s="433" t="s">
        <v>852</v>
      </c>
      <c r="E18" s="433" t="s">
        <v>839</v>
      </c>
      <c r="F18" s="433" t="s">
        <v>839</v>
      </c>
      <c r="G18" s="433"/>
      <c r="H18" s="435" t="s">
        <v>1305</v>
      </c>
      <c r="I18" s="582">
        <v>0</v>
      </c>
      <c r="J18" s="582"/>
      <c r="K18" s="582"/>
      <c r="L18" s="582"/>
      <c r="M18" s="582"/>
      <c r="N18" s="582"/>
      <c r="O18" s="582"/>
      <c r="P18" s="582"/>
      <c r="Q18" s="582"/>
      <c r="R18" s="582"/>
      <c r="S18" s="582"/>
      <c r="T18" s="582"/>
      <c r="U18" s="582"/>
      <c r="V18" s="582"/>
      <c r="W18" s="582"/>
      <c r="X18" s="582"/>
      <c r="Y18" s="582">
        <f t="shared" si="6"/>
        <v>0</v>
      </c>
      <c r="Z18" s="582">
        <f t="shared" si="1"/>
        <v>0</v>
      </c>
      <c r="AA18" s="582">
        <f t="shared" si="1"/>
        <v>0</v>
      </c>
      <c r="AB18" s="582">
        <f t="shared" si="1"/>
        <v>0</v>
      </c>
      <c r="AC18" s="428"/>
    </row>
    <row r="19" spans="1:29" ht="16.5" thickTop="1" thickBot="1">
      <c r="A19" s="432">
        <v>2</v>
      </c>
      <c r="B19" s="433" t="s">
        <v>839</v>
      </c>
      <c r="C19" s="433" t="s">
        <v>854</v>
      </c>
      <c r="D19" s="433" t="s">
        <v>852</v>
      </c>
      <c r="E19" s="433" t="s">
        <v>839</v>
      </c>
      <c r="F19" s="433" t="s">
        <v>852</v>
      </c>
      <c r="G19" s="433"/>
      <c r="H19" s="435" t="s">
        <v>1306</v>
      </c>
      <c r="I19" s="582">
        <v>0</v>
      </c>
      <c r="J19" s="582"/>
      <c r="K19" s="582"/>
      <c r="L19" s="582"/>
      <c r="M19" s="582"/>
      <c r="N19" s="582"/>
      <c r="O19" s="582"/>
      <c r="P19" s="582"/>
      <c r="Q19" s="582"/>
      <c r="R19" s="582"/>
      <c r="S19" s="582"/>
      <c r="T19" s="582"/>
      <c r="U19" s="582"/>
      <c r="V19" s="582"/>
      <c r="W19" s="582"/>
      <c r="X19" s="582"/>
      <c r="Y19" s="582">
        <f t="shared" si="6"/>
        <v>0</v>
      </c>
      <c r="Z19" s="582">
        <f t="shared" si="6"/>
        <v>0</v>
      </c>
      <c r="AA19" s="582">
        <f t="shared" si="6"/>
        <v>0</v>
      </c>
      <c r="AB19" s="582">
        <f t="shared" si="6"/>
        <v>0</v>
      </c>
      <c r="AC19" s="428"/>
    </row>
    <row r="20" spans="1:29" ht="16.5" thickTop="1" thickBot="1">
      <c r="A20" s="437">
        <v>2</v>
      </c>
      <c r="B20" s="438" t="s">
        <v>839</v>
      </c>
      <c r="C20" s="438" t="s">
        <v>854</v>
      </c>
      <c r="D20" s="438" t="s">
        <v>854</v>
      </c>
      <c r="E20" s="438"/>
      <c r="F20" s="438"/>
      <c r="G20" s="438"/>
      <c r="H20" s="439" t="s">
        <v>1307</v>
      </c>
      <c r="I20" s="583">
        <f>+I21+I22</f>
        <v>0</v>
      </c>
      <c r="J20" s="583">
        <f t="shared" ref="J20:X20" si="11">+J21+J22</f>
        <v>0</v>
      </c>
      <c r="K20" s="583">
        <f t="shared" si="11"/>
        <v>0</v>
      </c>
      <c r="L20" s="583">
        <f t="shared" si="11"/>
        <v>0</v>
      </c>
      <c r="M20" s="583">
        <f t="shared" si="11"/>
        <v>0</v>
      </c>
      <c r="N20" s="583">
        <f t="shared" si="11"/>
        <v>0</v>
      </c>
      <c r="O20" s="583">
        <f t="shared" si="11"/>
        <v>0</v>
      </c>
      <c r="P20" s="583">
        <f t="shared" si="11"/>
        <v>0</v>
      </c>
      <c r="Q20" s="583">
        <f t="shared" si="11"/>
        <v>0</v>
      </c>
      <c r="R20" s="583">
        <f t="shared" si="11"/>
        <v>0</v>
      </c>
      <c r="S20" s="583">
        <f t="shared" si="11"/>
        <v>0</v>
      </c>
      <c r="T20" s="583">
        <f t="shared" si="11"/>
        <v>0</v>
      </c>
      <c r="U20" s="583">
        <f t="shared" si="11"/>
        <v>0</v>
      </c>
      <c r="V20" s="583">
        <f t="shared" si="11"/>
        <v>0</v>
      </c>
      <c r="W20" s="583">
        <f t="shared" si="11"/>
        <v>0</v>
      </c>
      <c r="X20" s="583">
        <f t="shared" si="11"/>
        <v>0</v>
      </c>
      <c r="Y20" s="583">
        <f t="shared" si="6"/>
        <v>0</v>
      </c>
      <c r="Z20" s="583">
        <f t="shared" si="6"/>
        <v>0</v>
      </c>
      <c r="AA20" s="583">
        <f t="shared" si="6"/>
        <v>0</v>
      </c>
      <c r="AB20" s="583">
        <f t="shared" si="6"/>
        <v>0</v>
      </c>
      <c r="AC20" s="428"/>
    </row>
    <row r="21" spans="1:29" s="436" customFormat="1" ht="16.5" thickTop="1" thickBot="1">
      <c r="A21" s="432">
        <v>2</v>
      </c>
      <c r="B21" s="433" t="s">
        <v>839</v>
      </c>
      <c r="C21" s="433" t="s">
        <v>854</v>
      </c>
      <c r="D21" s="433" t="s">
        <v>854</v>
      </c>
      <c r="E21" s="433" t="s">
        <v>839</v>
      </c>
      <c r="F21" s="433"/>
      <c r="G21" s="433"/>
      <c r="H21" s="435" t="s">
        <v>1308</v>
      </c>
      <c r="I21" s="582"/>
      <c r="J21" s="582"/>
      <c r="K21" s="582"/>
      <c r="L21" s="582"/>
      <c r="M21" s="582"/>
      <c r="N21" s="582"/>
      <c r="O21" s="582"/>
      <c r="P21" s="582"/>
      <c r="Q21" s="582"/>
      <c r="R21" s="582"/>
      <c r="S21" s="582"/>
      <c r="T21" s="582"/>
      <c r="U21" s="582"/>
      <c r="V21" s="582"/>
      <c r="W21" s="582"/>
      <c r="X21" s="582"/>
      <c r="Y21" s="582">
        <f t="shared" si="6"/>
        <v>0</v>
      </c>
      <c r="Z21" s="582">
        <f t="shared" si="6"/>
        <v>0</v>
      </c>
      <c r="AA21" s="582">
        <f t="shared" si="6"/>
        <v>0</v>
      </c>
      <c r="AB21" s="582">
        <f t="shared" si="6"/>
        <v>0</v>
      </c>
      <c r="AC21" s="428"/>
    </row>
    <row r="22" spans="1:29" ht="16.5" thickTop="1" thickBot="1">
      <c r="A22" s="432">
        <v>2</v>
      </c>
      <c r="B22" s="433" t="s">
        <v>839</v>
      </c>
      <c r="C22" s="433" t="s">
        <v>854</v>
      </c>
      <c r="D22" s="433" t="s">
        <v>854</v>
      </c>
      <c r="E22" s="433" t="s">
        <v>852</v>
      </c>
      <c r="F22" s="433"/>
      <c r="G22" s="433"/>
      <c r="H22" s="435" t="s">
        <v>1309</v>
      </c>
      <c r="I22" s="582"/>
      <c r="J22" s="582"/>
      <c r="K22" s="582"/>
      <c r="L22" s="582"/>
      <c r="M22" s="582"/>
      <c r="N22" s="582"/>
      <c r="O22" s="582"/>
      <c r="P22" s="582"/>
      <c r="Q22" s="582"/>
      <c r="R22" s="582"/>
      <c r="S22" s="582"/>
      <c r="T22" s="582"/>
      <c r="U22" s="582"/>
      <c r="V22" s="582"/>
      <c r="W22" s="582"/>
      <c r="X22" s="582"/>
      <c r="Y22" s="582">
        <f t="shared" si="6"/>
        <v>0</v>
      </c>
      <c r="Z22" s="582">
        <f t="shared" si="6"/>
        <v>0</v>
      </c>
      <c r="AA22" s="582">
        <f t="shared" si="6"/>
        <v>0</v>
      </c>
      <c r="AB22" s="582">
        <f t="shared" si="6"/>
        <v>0</v>
      </c>
      <c r="AC22" s="428"/>
    </row>
    <row r="23" spans="1:29" ht="16.5" thickTop="1" thickBot="1">
      <c r="A23" s="431">
        <v>2</v>
      </c>
      <c r="B23" s="429" t="s">
        <v>839</v>
      </c>
      <c r="C23" s="429" t="s">
        <v>856</v>
      </c>
      <c r="D23" s="429"/>
      <c r="E23" s="429"/>
      <c r="F23" s="429"/>
      <c r="G23" s="429"/>
      <c r="H23" s="430" t="s">
        <v>1310</v>
      </c>
      <c r="I23" s="581">
        <f t="shared" ref="I23:X23" si="12">+I24+I28+I30+I32</f>
        <v>265153173.5</v>
      </c>
      <c r="J23" s="581">
        <f t="shared" si="12"/>
        <v>242424830</v>
      </c>
      <c r="K23" s="581">
        <f t="shared" si="12"/>
        <v>242424830</v>
      </c>
      <c r="L23" s="581">
        <f t="shared" si="12"/>
        <v>29078640</v>
      </c>
      <c r="M23" s="581">
        <f t="shared" si="12"/>
        <v>10100000</v>
      </c>
      <c r="N23" s="581">
        <f t="shared" si="12"/>
        <v>0</v>
      </c>
      <c r="O23" s="581">
        <f t="shared" si="12"/>
        <v>0</v>
      </c>
      <c r="P23" s="581">
        <f t="shared" si="12"/>
        <v>0</v>
      </c>
      <c r="Q23" s="581">
        <f t="shared" si="12"/>
        <v>0</v>
      </c>
      <c r="R23" s="581">
        <f t="shared" si="12"/>
        <v>0</v>
      </c>
      <c r="S23" s="581">
        <f t="shared" si="12"/>
        <v>0</v>
      </c>
      <c r="T23" s="581">
        <f t="shared" si="12"/>
        <v>0</v>
      </c>
      <c r="U23" s="581">
        <f t="shared" si="12"/>
        <v>0</v>
      </c>
      <c r="V23" s="581">
        <f t="shared" si="12"/>
        <v>0</v>
      </c>
      <c r="W23" s="581">
        <f t="shared" si="12"/>
        <v>0</v>
      </c>
      <c r="X23" s="581">
        <f t="shared" si="12"/>
        <v>0</v>
      </c>
      <c r="Y23" s="581">
        <f t="shared" si="6"/>
        <v>275253173.5</v>
      </c>
      <c r="Z23" s="581">
        <f t="shared" si="6"/>
        <v>242424830</v>
      </c>
      <c r="AA23" s="581">
        <f t="shared" si="6"/>
        <v>242424830</v>
      </c>
      <c r="AB23" s="581">
        <f t="shared" si="6"/>
        <v>29078640</v>
      </c>
      <c r="AC23" s="428"/>
    </row>
    <row r="24" spans="1:29" ht="16.5" thickTop="1" thickBot="1">
      <c r="A24" s="437">
        <v>2</v>
      </c>
      <c r="B24" s="438" t="s">
        <v>839</v>
      </c>
      <c r="C24" s="438" t="s">
        <v>856</v>
      </c>
      <c r="D24" s="438" t="s">
        <v>839</v>
      </c>
      <c r="E24" s="438"/>
      <c r="F24" s="438"/>
      <c r="G24" s="438"/>
      <c r="H24" s="439" t="s">
        <v>1311</v>
      </c>
      <c r="I24" s="583">
        <f>+I25</f>
        <v>51806983.5</v>
      </c>
      <c r="J24" s="583">
        <f t="shared" ref="J24:X24" si="13">+J25</f>
        <v>29078640</v>
      </c>
      <c r="K24" s="583">
        <f t="shared" si="13"/>
        <v>29078640</v>
      </c>
      <c r="L24" s="583">
        <f t="shared" si="13"/>
        <v>29078640</v>
      </c>
      <c r="M24" s="583">
        <f t="shared" si="13"/>
        <v>0</v>
      </c>
      <c r="N24" s="583">
        <f t="shared" si="13"/>
        <v>0</v>
      </c>
      <c r="O24" s="583">
        <f t="shared" si="13"/>
        <v>0</v>
      </c>
      <c r="P24" s="583">
        <f t="shared" si="13"/>
        <v>0</v>
      </c>
      <c r="Q24" s="583">
        <f t="shared" si="13"/>
        <v>0</v>
      </c>
      <c r="R24" s="583">
        <f t="shared" si="13"/>
        <v>0</v>
      </c>
      <c r="S24" s="583">
        <f t="shared" si="13"/>
        <v>0</v>
      </c>
      <c r="T24" s="583">
        <f t="shared" si="13"/>
        <v>0</v>
      </c>
      <c r="U24" s="583">
        <f t="shared" si="13"/>
        <v>0</v>
      </c>
      <c r="V24" s="583">
        <f t="shared" si="13"/>
        <v>0</v>
      </c>
      <c r="W24" s="583">
        <f t="shared" si="13"/>
        <v>0</v>
      </c>
      <c r="X24" s="583">
        <f t="shared" si="13"/>
        <v>0</v>
      </c>
      <c r="Y24" s="583">
        <f t="shared" si="6"/>
        <v>51806983.5</v>
      </c>
      <c r="Z24" s="583">
        <f t="shared" si="6"/>
        <v>29078640</v>
      </c>
      <c r="AA24" s="583">
        <f t="shared" si="6"/>
        <v>29078640</v>
      </c>
      <c r="AB24" s="583">
        <f t="shared" si="6"/>
        <v>29078640</v>
      </c>
      <c r="AC24" s="428"/>
    </row>
    <row r="25" spans="1:29" s="436" customFormat="1" ht="16.5" thickTop="1" thickBot="1">
      <c r="A25" s="585">
        <v>2</v>
      </c>
      <c r="B25" s="434" t="s">
        <v>839</v>
      </c>
      <c r="C25" s="434" t="s">
        <v>856</v>
      </c>
      <c r="D25" s="434" t="s">
        <v>839</v>
      </c>
      <c r="E25" s="434" t="s">
        <v>839</v>
      </c>
      <c r="F25" s="434"/>
      <c r="G25" s="434"/>
      <c r="H25" s="586" t="s">
        <v>1312</v>
      </c>
      <c r="I25" s="587">
        <f>+I26+I27</f>
        <v>51806983.5</v>
      </c>
      <c r="J25" s="587">
        <f t="shared" ref="J25:X25" si="14">+J26+J27</f>
        <v>29078640</v>
      </c>
      <c r="K25" s="587">
        <f t="shared" si="14"/>
        <v>29078640</v>
      </c>
      <c r="L25" s="587">
        <f t="shared" si="14"/>
        <v>29078640</v>
      </c>
      <c r="M25" s="587">
        <f t="shared" si="14"/>
        <v>0</v>
      </c>
      <c r="N25" s="587">
        <f t="shared" si="14"/>
        <v>0</v>
      </c>
      <c r="O25" s="587">
        <f t="shared" si="14"/>
        <v>0</v>
      </c>
      <c r="P25" s="587">
        <f t="shared" si="14"/>
        <v>0</v>
      </c>
      <c r="Q25" s="587">
        <f t="shared" si="14"/>
        <v>0</v>
      </c>
      <c r="R25" s="587">
        <f t="shared" si="14"/>
        <v>0</v>
      </c>
      <c r="S25" s="587">
        <f t="shared" si="14"/>
        <v>0</v>
      </c>
      <c r="T25" s="587">
        <f t="shared" si="14"/>
        <v>0</v>
      </c>
      <c r="U25" s="587">
        <f t="shared" si="14"/>
        <v>0</v>
      </c>
      <c r="V25" s="587">
        <f t="shared" si="14"/>
        <v>0</v>
      </c>
      <c r="W25" s="587">
        <f t="shared" si="14"/>
        <v>0</v>
      </c>
      <c r="X25" s="587">
        <f t="shared" si="14"/>
        <v>0</v>
      </c>
      <c r="Y25" s="587">
        <f t="shared" si="6"/>
        <v>51806983.5</v>
      </c>
      <c r="Z25" s="587">
        <f t="shared" si="6"/>
        <v>29078640</v>
      </c>
      <c r="AA25" s="587">
        <f t="shared" si="6"/>
        <v>29078640</v>
      </c>
      <c r="AB25" s="587">
        <f t="shared" si="6"/>
        <v>29078640</v>
      </c>
      <c r="AC25" s="428"/>
    </row>
    <row r="26" spans="1:29" s="441" customFormat="1" ht="16.5" thickTop="1" thickBot="1">
      <c r="A26" s="432">
        <v>2</v>
      </c>
      <c r="B26" s="433" t="s">
        <v>839</v>
      </c>
      <c r="C26" s="433" t="s">
        <v>856</v>
      </c>
      <c r="D26" s="433" t="s">
        <v>839</v>
      </c>
      <c r="E26" s="433" t="s">
        <v>839</v>
      </c>
      <c r="F26" s="433" t="s">
        <v>839</v>
      </c>
      <c r="G26" s="433"/>
      <c r="H26" s="435" t="s">
        <v>1313</v>
      </c>
      <c r="I26" s="584">
        <v>39210910.5</v>
      </c>
      <c r="J26" s="584">
        <v>27482467</v>
      </c>
      <c r="K26" s="584">
        <v>27482467</v>
      </c>
      <c r="L26" s="584">
        <v>27482467</v>
      </c>
      <c r="M26" s="584"/>
      <c r="N26" s="584"/>
      <c r="O26" s="584"/>
      <c r="P26" s="584"/>
      <c r="Q26" s="584"/>
      <c r="R26" s="584"/>
      <c r="S26" s="584"/>
      <c r="T26" s="584"/>
      <c r="U26" s="584"/>
      <c r="V26" s="584"/>
      <c r="W26" s="584"/>
      <c r="X26" s="584"/>
      <c r="Y26" s="584">
        <f t="shared" si="6"/>
        <v>39210910.5</v>
      </c>
      <c r="Z26" s="584">
        <f t="shared" si="6"/>
        <v>27482467</v>
      </c>
      <c r="AA26" s="584">
        <f t="shared" si="6"/>
        <v>27482467</v>
      </c>
      <c r="AB26" s="584">
        <f t="shared" si="6"/>
        <v>27482467</v>
      </c>
      <c r="AC26" s="428"/>
    </row>
    <row r="27" spans="1:29" s="440" customFormat="1" ht="16.5" thickTop="1" thickBot="1">
      <c r="A27" s="432">
        <v>2</v>
      </c>
      <c r="B27" s="433" t="s">
        <v>839</v>
      </c>
      <c r="C27" s="433" t="s">
        <v>856</v>
      </c>
      <c r="D27" s="433" t="s">
        <v>839</v>
      </c>
      <c r="E27" s="433" t="s">
        <v>839</v>
      </c>
      <c r="F27" s="433" t="s">
        <v>852</v>
      </c>
      <c r="G27" s="433"/>
      <c r="H27" s="435" t="s">
        <v>1314</v>
      </c>
      <c r="I27" s="584">
        <v>12596073</v>
      </c>
      <c r="J27" s="584">
        <v>1596173</v>
      </c>
      <c r="K27" s="584">
        <v>1596173</v>
      </c>
      <c r="L27" s="584">
        <v>1596173</v>
      </c>
      <c r="M27" s="584"/>
      <c r="N27" s="584"/>
      <c r="O27" s="584"/>
      <c r="P27" s="584"/>
      <c r="Q27" s="584"/>
      <c r="R27" s="584"/>
      <c r="S27" s="584"/>
      <c r="T27" s="584"/>
      <c r="U27" s="584"/>
      <c r="V27" s="584"/>
      <c r="W27" s="584"/>
      <c r="X27" s="584"/>
      <c r="Y27" s="584">
        <f t="shared" si="6"/>
        <v>12596073</v>
      </c>
      <c r="Z27" s="584">
        <f t="shared" si="6"/>
        <v>1596173</v>
      </c>
      <c r="AA27" s="584">
        <f t="shared" si="6"/>
        <v>1596173</v>
      </c>
      <c r="AB27" s="584">
        <f t="shared" si="6"/>
        <v>1596173</v>
      </c>
      <c r="AC27" s="428"/>
    </row>
    <row r="28" spans="1:29" s="440" customFormat="1" ht="16.5" thickTop="1" thickBot="1">
      <c r="A28" s="437">
        <v>2</v>
      </c>
      <c r="B28" s="438" t="s">
        <v>839</v>
      </c>
      <c r="C28" s="438" t="s">
        <v>856</v>
      </c>
      <c r="D28" s="438" t="s">
        <v>852</v>
      </c>
      <c r="E28" s="438"/>
      <c r="F28" s="438"/>
      <c r="G28" s="438"/>
      <c r="H28" s="439" t="s">
        <v>1315</v>
      </c>
      <c r="I28" s="583">
        <f>+I29</f>
        <v>0</v>
      </c>
      <c r="J28" s="583">
        <f t="shared" ref="J28:X28" si="15">+J29</f>
        <v>0</v>
      </c>
      <c r="K28" s="583">
        <f t="shared" si="15"/>
        <v>0</v>
      </c>
      <c r="L28" s="583">
        <f t="shared" si="15"/>
        <v>0</v>
      </c>
      <c r="M28" s="583">
        <f t="shared" si="15"/>
        <v>0</v>
      </c>
      <c r="N28" s="583">
        <f t="shared" si="15"/>
        <v>0</v>
      </c>
      <c r="O28" s="583">
        <f t="shared" si="15"/>
        <v>0</v>
      </c>
      <c r="P28" s="583">
        <f t="shared" si="15"/>
        <v>0</v>
      </c>
      <c r="Q28" s="583">
        <f t="shared" si="15"/>
        <v>0</v>
      </c>
      <c r="R28" s="583">
        <f t="shared" si="15"/>
        <v>0</v>
      </c>
      <c r="S28" s="583">
        <f t="shared" si="15"/>
        <v>0</v>
      </c>
      <c r="T28" s="583">
        <f t="shared" si="15"/>
        <v>0</v>
      </c>
      <c r="U28" s="583">
        <f t="shared" si="15"/>
        <v>0</v>
      </c>
      <c r="V28" s="583">
        <f t="shared" si="15"/>
        <v>0</v>
      </c>
      <c r="W28" s="583">
        <f t="shared" si="15"/>
        <v>0</v>
      </c>
      <c r="X28" s="583">
        <f t="shared" si="15"/>
        <v>0</v>
      </c>
      <c r="Y28" s="583">
        <f t="shared" si="6"/>
        <v>0</v>
      </c>
      <c r="Z28" s="583">
        <f t="shared" si="6"/>
        <v>0</v>
      </c>
      <c r="AA28" s="583">
        <f t="shared" si="6"/>
        <v>0</v>
      </c>
      <c r="AB28" s="583">
        <f t="shared" si="6"/>
        <v>0</v>
      </c>
      <c r="AC28" s="428"/>
    </row>
    <row r="29" spans="1:29" s="436" customFormat="1" ht="16.5" thickTop="1" thickBot="1">
      <c r="A29" s="432">
        <v>2</v>
      </c>
      <c r="B29" s="433" t="s">
        <v>839</v>
      </c>
      <c r="C29" s="433" t="s">
        <v>856</v>
      </c>
      <c r="D29" s="433" t="s">
        <v>852</v>
      </c>
      <c r="E29" s="433" t="s">
        <v>839</v>
      </c>
      <c r="F29" s="433"/>
      <c r="G29" s="433"/>
      <c r="H29" s="435" t="s">
        <v>1316</v>
      </c>
      <c r="I29" s="584"/>
      <c r="J29" s="584"/>
      <c r="K29" s="584"/>
      <c r="L29" s="584"/>
      <c r="M29" s="584"/>
      <c r="N29" s="584"/>
      <c r="O29" s="584"/>
      <c r="P29" s="584"/>
      <c r="Q29" s="584"/>
      <c r="R29" s="584"/>
      <c r="S29" s="584"/>
      <c r="T29" s="584"/>
      <c r="U29" s="584"/>
      <c r="V29" s="584"/>
      <c r="W29" s="584"/>
      <c r="X29" s="584"/>
      <c r="Y29" s="584">
        <f t="shared" si="6"/>
        <v>0</v>
      </c>
      <c r="Z29" s="584">
        <f t="shared" si="6"/>
        <v>0</v>
      </c>
      <c r="AA29" s="584">
        <f t="shared" si="6"/>
        <v>0</v>
      </c>
      <c r="AB29" s="584">
        <f t="shared" si="6"/>
        <v>0</v>
      </c>
      <c r="AC29" s="428"/>
    </row>
    <row r="30" spans="1:29" s="440" customFormat="1" ht="16.5" thickTop="1" thickBot="1">
      <c r="A30" s="437">
        <v>2</v>
      </c>
      <c r="B30" s="438" t="s">
        <v>839</v>
      </c>
      <c r="C30" s="438" t="s">
        <v>856</v>
      </c>
      <c r="D30" s="438" t="s">
        <v>854</v>
      </c>
      <c r="E30" s="438"/>
      <c r="F30" s="438"/>
      <c r="G30" s="438"/>
      <c r="H30" s="439" t="s">
        <v>1317</v>
      </c>
      <c r="I30" s="583">
        <f>+I31</f>
        <v>213346190</v>
      </c>
      <c r="J30" s="583">
        <f t="shared" ref="J30:X30" si="16">+J31</f>
        <v>213346190</v>
      </c>
      <c r="K30" s="583">
        <f t="shared" si="16"/>
        <v>213346190</v>
      </c>
      <c r="L30" s="583">
        <f t="shared" si="16"/>
        <v>0</v>
      </c>
      <c r="M30" s="583">
        <f t="shared" si="16"/>
        <v>10100000</v>
      </c>
      <c r="N30" s="583">
        <f t="shared" si="16"/>
        <v>0</v>
      </c>
      <c r="O30" s="583">
        <f t="shared" si="16"/>
        <v>0</v>
      </c>
      <c r="P30" s="583">
        <f t="shared" si="16"/>
        <v>0</v>
      </c>
      <c r="Q30" s="583">
        <f t="shared" si="16"/>
        <v>0</v>
      </c>
      <c r="R30" s="583">
        <f t="shared" si="16"/>
        <v>0</v>
      </c>
      <c r="S30" s="583">
        <f t="shared" si="16"/>
        <v>0</v>
      </c>
      <c r="T30" s="583">
        <f t="shared" si="16"/>
        <v>0</v>
      </c>
      <c r="U30" s="583">
        <f t="shared" si="16"/>
        <v>0</v>
      </c>
      <c r="V30" s="583">
        <f t="shared" si="16"/>
        <v>0</v>
      </c>
      <c r="W30" s="583">
        <f t="shared" si="16"/>
        <v>0</v>
      </c>
      <c r="X30" s="583">
        <f t="shared" si="16"/>
        <v>0</v>
      </c>
      <c r="Y30" s="583">
        <f t="shared" si="6"/>
        <v>223446190</v>
      </c>
      <c r="Z30" s="583">
        <f t="shared" si="6"/>
        <v>213346190</v>
      </c>
      <c r="AA30" s="583">
        <f t="shared" si="6"/>
        <v>213346190</v>
      </c>
      <c r="AB30" s="583">
        <f t="shared" si="6"/>
        <v>0</v>
      </c>
      <c r="AC30" s="428"/>
    </row>
    <row r="31" spans="1:29" s="436" customFormat="1" ht="16.5" thickTop="1" thickBot="1">
      <c r="A31" s="432">
        <v>2</v>
      </c>
      <c r="B31" s="433" t="s">
        <v>839</v>
      </c>
      <c r="C31" s="433" t="s">
        <v>856</v>
      </c>
      <c r="D31" s="433" t="s">
        <v>854</v>
      </c>
      <c r="E31" s="433" t="s">
        <v>839</v>
      </c>
      <c r="F31" s="433"/>
      <c r="G31" s="433"/>
      <c r="H31" s="435" t="s">
        <v>1318</v>
      </c>
      <c r="I31" s="582">
        <v>213346190</v>
      </c>
      <c r="J31" s="582">
        <v>213346190</v>
      </c>
      <c r="K31" s="582">
        <v>213346190</v>
      </c>
      <c r="L31" s="582">
        <v>0</v>
      </c>
      <c r="M31" s="582">
        <v>10100000</v>
      </c>
      <c r="N31" s="582"/>
      <c r="O31" s="582"/>
      <c r="P31" s="582"/>
      <c r="Q31" s="582"/>
      <c r="R31" s="582"/>
      <c r="S31" s="582"/>
      <c r="T31" s="582"/>
      <c r="U31" s="582"/>
      <c r="V31" s="582"/>
      <c r="W31" s="582"/>
      <c r="X31" s="582"/>
      <c r="Y31" s="582">
        <f t="shared" si="6"/>
        <v>223446190</v>
      </c>
      <c r="Z31" s="582">
        <f t="shared" si="6"/>
        <v>213346190</v>
      </c>
      <c r="AA31" s="582">
        <f t="shared" si="6"/>
        <v>213346190</v>
      </c>
      <c r="AB31" s="582">
        <f t="shared" si="6"/>
        <v>0</v>
      </c>
      <c r="AC31" s="428"/>
    </row>
    <row r="32" spans="1:29" s="442" customFormat="1" ht="16.5" thickTop="1" thickBot="1">
      <c r="A32" s="443">
        <v>2</v>
      </c>
      <c r="B32" s="444" t="s">
        <v>839</v>
      </c>
      <c r="C32" s="438" t="s">
        <v>856</v>
      </c>
      <c r="D32" s="438" t="s">
        <v>856</v>
      </c>
      <c r="E32" s="443"/>
      <c r="F32" s="443"/>
      <c r="G32" s="443"/>
      <c r="H32" s="439" t="s">
        <v>942</v>
      </c>
      <c r="I32" s="588">
        <f>+I33+I34+I35</f>
        <v>0</v>
      </c>
      <c r="J32" s="588">
        <f t="shared" ref="J32:X32" si="17">+J33+J34+J35</f>
        <v>0</v>
      </c>
      <c r="K32" s="588">
        <f t="shared" si="17"/>
        <v>0</v>
      </c>
      <c r="L32" s="588">
        <f t="shared" si="17"/>
        <v>0</v>
      </c>
      <c r="M32" s="588">
        <f t="shared" si="17"/>
        <v>0</v>
      </c>
      <c r="N32" s="588">
        <f t="shared" si="17"/>
        <v>0</v>
      </c>
      <c r="O32" s="588">
        <f t="shared" si="17"/>
        <v>0</v>
      </c>
      <c r="P32" s="588">
        <f t="shared" si="17"/>
        <v>0</v>
      </c>
      <c r="Q32" s="588">
        <f t="shared" si="17"/>
        <v>0</v>
      </c>
      <c r="R32" s="588">
        <f t="shared" si="17"/>
        <v>0</v>
      </c>
      <c r="S32" s="588">
        <f t="shared" si="17"/>
        <v>0</v>
      </c>
      <c r="T32" s="588">
        <f t="shared" si="17"/>
        <v>0</v>
      </c>
      <c r="U32" s="588">
        <f t="shared" si="17"/>
        <v>0</v>
      </c>
      <c r="V32" s="588">
        <f t="shared" si="17"/>
        <v>0</v>
      </c>
      <c r="W32" s="588">
        <f t="shared" si="17"/>
        <v>0</v>
      </c>
      <c r="X32" s="588">
        <f t="shared" si="17"/>
        <v>0</v>
      </c>
      <c r="Y32" s="588">
        <f t="shared" si="6"/>
        <v>0</v>
      </c>
      <c r="Z32" s="588">
        <f t="shared" si="6"/>
        <v>0</v>
      </c>
      <c r="AA32" s="588">
        <f t="shared" si="6"/>
        <v>0</v>
      </c>
      <c r="AB32" s="588">
        <f t="shared" si="6"/>
        <v>0</v>
      </c>
      <c r="AC32" s="428"/>
    </row>
    <row r="33" spans="1:29" ht="16.5" thickTop="1" thickBot="1">
      <c r="A33" s="432">
        <v>2</v>
      </c>
      <c r="B33" s="433" t="s">
        <v>839</v>
      </c>
      <c r="C33" s="433" t="s">
        <v>856</v>
      </c>
      <c r="D33" s="433" t="s">
        <v>856</v>
      </c>
      <c r="E33" s="433" t="s">
        <v>839</v>
      </c>
      <c r="F33" s="433"/>
      <c r="G33" s="433"/>
      <c r="H33" s="435" t="s">
        <v>1319</v>
      </c>
      <c r="I33" s="582"/>
      <c r="J33" s="582"/>
      <c r="K33" s="582"/>
      <c r="L33" s="582"/>
      <c r="M33" s="582"/>
      <c r="N33" s="582"/>
      <c r="O33" s="582"/>
      <c r="P33" s="582"/>
      <c r="Q33" s="582"/>
      <c r="R33" s="582"/>
      <c r="S33" s="582"/>
      <c r="T33" s="582"/>
      <c r="U33" s="582"/>
      <c r="V33" s="582"/>
      <c r="W33" s="582"/>
      <c r="X33" s="582"/>
      <c r="Y33" s="582">
        <f t="shared" si="6"/>
        <v>0</v>
      </c>
      <c r="Z33" s="582">
        <f t="shared" si="6"/>
        <v>0</v>
      </c>
      <c r="AA33" s="582">
        <f t="shared" si="6"/>
        <v>0</v>
      </c>
      <c r="AB33" s="582">
        <f t="shared" si="6"/>
        <v>0</v>
      </c>
      <c r="AC33" s="428"/>
    </row>
    <row r="34" spans="1:29" s="442" customFormat="1" ht="16.5" thickTop="1" thickBot="1">
      <c r="A34" s="432">
        <v>2</v>
      </c>
      <c r="B34" s="433" t="s">
        <v>839</v>
      </c>
      <c r="C34" s="433" t="s">
        <v>856</v>
      </c>
      <c r="D34" s="433" t="s">
        <v>856</v>
      </c>
      <c r="E34" s="433" t="s">
        <v>852</v>
      </c>
      <c r="F34" s="433"/>
      <c r="G34" s="433"/>
      <c r="H34" s="435" t="s">
        <v>1320</v>
      </c>
      <c r="I34" s="582"/>
      <c r="J34" s="582"/>
      <c r="K34" s="582"/>
      <c r="L34" s="582"/>
      <c r="M34" s="582"/>
      <c r="N34" s="582"/>
      <c r="O34" s="582"/>
      <c r="P34" s="582"/>
      <c r="Q34" s="582"/>
      <c r="R34" s="582"/>
      <c r="S34" s="582"/>
      <c r="T34" s="582"/>
      <c r="U34" s="582"/>
      <c r="V34" s="582"/>
      <c r="W34" s="582"/>
      <c r="X34" s="582"/>
      <c r="Y34" s="582">
        <f t="shared" si="6"/>
        <v>0</v>
      </c>
      <c r="Z34" s="582">
        <f t="shared" si="6"/>
        <v>0</v>
      </c>
      <c r="AA34" s="582">
        <f t="shared" si="6"/>
        <v>0</v>
      </c>
      <c r="AB34" s="582">
        <f t="shared" si="6"/>
        <v>0</v>
      </c>
      <c r="AC34" s="428"/>
    </row>
    <row r="35" spans="1:29" s="442" customFormat="1" ht="16.5" thickTop="1" thickBot="1">
      <c r="A35" s="432">
        <v>2</v>
      </c>
      <c r="B35" s="433" t="s">
        <v>839</v>
      </c>
      <c r="C35" s="433" t="s">
        <v>856</v>
      </c>
      <c r="D35" s="433" t="s">
        <v>856</v>
      </c>
      <c r="E35" s="433" t="s">
        <v>854</v>
      </c>
      <c r="F35" s="433"/>
      <c r="G35" s="433"/>
      <c r="H35" s="435" t="s">
        <v>953</v>
      </c>
      <c r="I35" s="582"/>
      <c r="J35" s="582"/>
      <c r="K35" s="582"/>
      <c r="L35" s="582"/>
      <c r="M35" s="582"/>
      <c r="N35" s="582"/>
      <c r="O35" s="582"/>
      <c r="P35" s="582"/>
      <c r="Q35" s="582"/>
      <c r="R35" s="582"/>
      <c r="S35" s="582"/>
      <c r="T35" s="582"/>
      <c r="U35" s="582"/>
      <c r="V35" s="582"/>
      <c r="W35" s="582"/>
      <c r="X35" s="582"/>
      <c r="Y35" s="582">
        <f t="shared" si="6"/>
        <v>0</v>
      </c>
      <c r="Z35" s="582">
        <f t="shared" si="6"/>
        <v>0</v>
      </c>
      <c r="AA35" s="582">
        <f t="shared" si="6"/>
        <v>0</v>
      </c>
      <c r="AB35" s="582">
        <f t="shared" si="6"/>
        <v>0</v>
      </c>
      <c r="AC35" s="428"/>
    </row>
    <row r="36" spans="1:29" s="442" customFormat="1" ht="16.5" thickTop="1" thickBot="1">
      <c r="A36" s="431">
        <v>2</v>
      </c>
      <c r="B36" s="429" t="s">
        <v>852</v>
      </c>
      <c r="C36" s="429"/>
      <c r="D36" s="429"/>
      <c r="E36" s="429"/>
      <c r="F36" s="429"/>
      <c r="G36" s="429"/>
      <c r="H36" s="430" t="s">
        <v>1321</v>
      </c>
      <c r="I36" s="589">
        <f>+I37+I41</f>
        <v>3870947797</v>
      </c>
      <c r="J36" s="589">
        <f t="shared" ref="J36:X36" si="18">+J37+J41</f>
        <v>3870947797</v>
      </c>
      <c r="K36" s="589">
        <f t="shared" si="18"/>
        <v>3870947797</v>
      </c>
      <c r="L36" s="589">
        <f t="shared" si="18"/>
        <v>3870947797</v>
      </c>
      <c r="M36" s="589">
        <f t="shared" si="18"/>
        <v>0</v>
      </c>
      <c r="N36" s="589">
        <f t="shared" si="18"/>
        <v>0</v>
      </c>
      <c r="O36" s="589">
        <f t="shared" si="18"/>
        <v>0</v>
      </c>
      <c r="P36" s="589">
        <f t="shared" si="18"/>
        <v>0</v>
      </c>
      <c r="Q36" s="589">
        <f t="shared" si="18"/>
        <v>0</v>
      </c>
      <c r="R36" s="589">
        <f t="shared" si="18"/>
        <v>0</v>
      </c>
      <c r="S36" s="589">
        <f t="shared" si="18"/>
        <v>0</v>
      </c>
      <c r="T36" s="589">
        <f t="shared" si="18"/>
        <v>0</v>
      </c>
      <c r="U36" s="589">
        <f t="shared" si="18"/>
        <v>0</v>
      </c>
      <c r="V36" s="589">
        <f t="shared" si="18"/>
        <v>0</v>
      </c>
      <c r="W36" s="589">
        <f t="shared" si="18"/>
        <v>0</v>
      </c>
      <c r="X36" s="589">
        <f t="shared" si="18"/>
        <v>0</v>
      </c>
      <c r="Y36" s="589">
        <f t="shared" si="6"/>
        <v>3870947797</v>
      </c>
      <c r="Z36" s="589">
        <f t="shared" si="6"/>
        <v>3870947797</v>
      </c>
      <c r="AA36" s="589">
        <f t="shared" si="6"/>
        <v>3870947797</v>
      </c>
      <c r="AB36" s="589">
        <f t="shared" si="6"/>
        <v>3870947797</v>
      </c>
      <c r="AC36" s="428"/>
    </row>
    <row r="37" spans="1:29" ht="16.5" thickTop="1" thickBot="1">
      <c r="A37" s="443">
        <v>2</v>
      </c>
      <c r="B37" s="444" t="s">
        <v>852</v>
      </c>
      <c r="C37" s="438" t="s">
        <v>839</v>
      </c>
      <c r="D37" s="437"/>
      <c r="E37" s="438"/>
      <c r="F37" s="438"/>
      <c r="G37" s="438"/>
      <c r="H37" s="439" t="s">
        <v>1322</v>
      </c>
      <c r="I37" s="590">
        <f>+I38+I39+I40</f>
        <v>0</v>
      </c>
      <c r="J37" s="590">
        <f t="shared" ref="J37:X37" si="19">+J38+J39+J40</f>
        <v>0</v>
      </c>
      <c r="K37" s="590">
        <f t="shared" si="19"/>
        <v>0</v>
      </c>
      <c r="L37" s="590">
        <f t="shared" si="19"/>
        <v>0</v>
      </c>
      <c r="M37" s="590">
        <f t="shared" si="19"/>
        <v>0</v>
      </c>
      <c r="N37" s="590">
        <f t="shared" si="19"/>
        <v>0</v>
      </c>
      <c r="O37" s="590">
        <f t="shared" si="19"/>
        <v>0</v>
      </c>
      <c r="P37" s="590">
        <f t="shared" si="19"/>
        <v>0</v>
      </c>
      <c r="Q37" s="590">
        <f t="shared" si="19"/>
        <v>0</v>
      </c>
      <c r="R37" s="590">
        <f t="shared" si="19"/>
        <v>0</v>
      </c>
      <c r="S37" s="590">
        <f t="shared" si="19"/>
        <v>0</v>
      </c>
      <c r="T37" s="590">
        <f t="shared" si="19"/>
        <v>0</v>
      </c>
      <c r="U37" s="590">
        <f t="shared" si="19"/>
        <v>0</v>
      </c>
      <c r="V37" s="590">
        <f t="shared" si="19"/>
        <v>0</v>
      </c>
      <c r="W37" s="590">
        <f t="shared" si="19"/>
        <v>0</v>
      </c>
      <c r="X37" s="590">
        <f t="shared" si="19"/>
        <v>0</v>
      </c>
      <c r="Y37" s="590">
        <f t="shared" si="6"/>
        <v>0</v>
      </c>
      <c r="Z37" s="590">
        <f t="shared" si="6"/>
        <v>0</v>
      </c>
      <c r="AA37" s="590">
        <f t="shared" si="6"/>
        <v>0</v>
      </c>
      <c r="AB37" s="590">
        <f t="shared" si="6"/>
        <v>0</v>
      </c>
      <c r="AC37" s="428"/>
    </row>
    <row r="38" spans="1:29" ht="16.5" thickTop="1" thickBot="1">
      <c r="A38" s="432">
        <v>2</v>
      </c>
      <c r="B38" s="433" t="s">
        <v>852</v>
      </c>
      <c r="C38" s="433" t="s">
        <v>839</v>
      </c>
      <c r="D38" s="434" t="s">
        <v>839</v>
      </c>
      <c r="E38" s="432"/>
      <c r="F38" s="432"/>
      <c r="G38" s="432"/>
      <c r="H38" s="435" t="s">
        <v>1322</v>
      </c>
      <c r="I38" s="591"/>
      <c r="J38" s="591"/>
      <c r="K38" s="591"/>
      <c r="L38" s="591"/>
      <c r="M38" s="591"/>
      <c r="N38" s="591"/>
      <c r="O38" s="591"/>
      <c r="P38" s="591"/>
      <c r="Q38" s="591"/>
      <c r="R38" s="591"/>
      <c r="S38" s="591"/>
      <c r="T38" s="591"/>
      <c r="U38" s="591"/>
      <c r="V38" s="591"/>
      <c r="W38" s="591"/>
      <c r="X38" s="591"/>
      <c r="Y38" s="591">
        <f t="shared" si="6"/>
        <v>0</v>
      </c>
      <c r="Z38" s="591">
        <f t="shared" si="6"/>
        <v>0</v>
      </c>
      <c r="AA38" s="591">
        <f t="shared" si="6"/>
        <v>0</v>
      </c>
      <c r="AB38" s="591">
        <f t="shared" si="6"/>
        <v>0</v>
      </c>
      <c r="AC38" s="428"/>
    </row>
    <row r="39" spans="1:29" ht="16.5" thickTop="1" thickBot="1">
      <c r="A39" s="432">
        <v>2</v>
      </c>
      <c r="B39" s="433" t="s">
        <v>852</v>
      </c>
      <c r="C39" s="433" t="s">
        <v>839</v>
      </c>
      <c r="D39" s="434" t="s">
        <v>852</v>
      </c>
      <c r="E39" s="432"/>
      <c r="F39" s="432"/>
      <c r="G39" s="432"/>
      <c r="H39" s="435" t="s">
        <v>1323</v>
      </c>
      <c r="I39" s="591"/>
      <c r="J39" s="591"/>
      <c r="K39" s="591"/>
      <c r="L39" s="591"/>
      <c r="M39" s="591"/>
      <c r="N39" s="591"/>
      <c r="O39" s="591"/>
      <c r="P39" s="591"/>
      <c r="Q39" s="591"/>
      <c r="R39" s="591"/>
      <c r="S39" s="591"/>
      <c r="T39" s="591"/>
      <c r="U39" s="591"/>
      <c r="V39" s="591"/>
      <c r="W39" s="591"/>
      <c r="X39" s="591"/>
      <c r="Y39" s="591">
        <f t="shared" si="6"/>
        <v>0</v>
      </c>
      <c r="Z39" s="591">
        <f t="shared" si="6"/>
        <v>0</v>
      </c>
      <c r="AA39" s="591">
        <f t="shared" si="6"/>
        <v>0</v>
      </c>
      <c r="AB39" s="591">
        <f t="shared" si="6"/>
        <v>0</v>
      </c>
      <c r="AC39" s="428"/>
    </row>
    <row r="40" spans="1:29" ht="16.5" thickTop="1" thickBot="1">
      <c r="A40" s="432">
        <v>2</v>
      </c>
      <c r="B40" s="433" t="s">
        <v>852</v>
      </c>
      <c r="C40" s="433" t="s">
        <v>839</v>
      </c>
      <c r="D40" s="434" t="s">
        <v>854</v>
      </c>
      <c r="E40" s="432"/>
      <c r="F40" s="432"/>
      <c r="G40" s="432"/>
      <c r="H40" s="435" t="s">
        <v>1308</v>
      </c>
      <c r="I40" s="591"/>
      <c r="J40" s="591"/>
      <c r="K40" s="591"/>
      <c r="L40" s="591"/>
      <c r="M40" s="591"/>
      <c r="N40" s="591"/>
      <c r="O40" s="591"/>
      <c r="P40" s="591"/>
      <c r="Q40" s="591"/>
      <c r="R40" s="591"/>
      <c r="S40" s="591"/>
      <c r="T40" s="591"/>
      <c r="U40" s="591"/>
      <c r="V40" s="591"/>
      <c r="W40" s="591"/>
      <c r="X40" s="591"/>
      <c r="Y40" s="591">
        <f t="shared" si="6"/>
        <v>0</v>
      </c>
      <c r="Z40" s="591">
        <f t="shared" si="6"/>
        <v>0</v>
      </c>
      <c r="AA40" s="591">
        <f t="shared" si="6"/>
        <v>0</v>
      </c>
      <c r="AB40" s="591">
        <f t="shared" si="6"/>
        <v>0</v>
      </c>
      <c r="AC40" s="428"/>
    </row>
    <row r="41" spans="1:29" ht="16.5" thickTop="1" thickBot="1">
      <c r="A41" s="443">
        <v>2</v>
      </c>
      <c r="B41" s="444" t="s">
        <v>852</v>
      </c>
      <c r="C41" s="438" t="s">
        <v>852</v>
      </c>
      <c r="D41" s="437"/>
      <c r="E41" s="438"/>
      <c r="F41" s="438"/>
      <c r="G41" s="438"/>
      <c r="H41" s="439" t="s">
        <v>1324</v>
      </c>
      <c r="I41" s="590">
        <f>+I42+I43+I44+I45</f>
        <v>3870947797</v>
      </c>
      <c r="J41" s="590">
        <f t="shared" ref="J41:X41" si="20">+J42+J43+J44+J45</f>
        <v>3870947797</v>
      </c>
      <c r="K41" s="590">
        <f t="shared" si="20"/>
        <v>3870947797</v>
      </c>
      <c r="L41" s="590">
        <f t="shared" si="20"/>
        <v>3870947797</v>
      </c>
      <c r="M41" s="590">
        <f t="shared" si="20"/>
        <v>0</v>
      </c>
      <c r="N41" s="590">
        <f t="shared" si="20"/>
        <v>0</v>
      </c>
      <c r="O41" s="590">
        <f t="shared" si="20"/>
        <v>0</v>
      </c>
      <c r="P41" s="590">
        <f t="shared" si="20"/>
        <v>0</v>
      </c>
      <c r="Q41" s="590">
        <f t="shared" si="20"/>
        <v>0</v>
      </c>
      <c r="R41" s="590">
        <f t="shared" si="20"/>
        <v>0</v>
      </c>
      <c r="S41" s="590">
        <f t="shared" si="20"/>
        <v>0</v>
      </c>
      <c r="T41" s="590">
        <f t="shared" si="20"/>
        <v>0</v>
      </c>
      <c r="U41" s="590">
        <f t="shared" si="20"/>
        <v>0</v>
      </c>
      <c r="V41" s="590">
        <f t="shared" si="20"/>
        <v>0</v>
      </c>
      <c r="W41" s="590">
        <f t="shared" si="20"/>
        <v>0</v>
      </c>
      <c r="X41" s="590">
        <f t="shared" si="20"/>
        <v>0</v>
      </c>
      <c r="Y41" s="590">
        <f t="shared" si="6"/>
        <v>3870947797</v>
      </c>
      <c r="Z41" s="590">
        <f t="shared" si="6"/>
        <v>3870947797</v>
      </c>
      <c r="AA41" s="590">
        <f t="shared" si="6"/>
        <v>3870947797</v>
      </c>
      <c r="AB41" s="590">
        <f t="shared" si="6"/>
        <v>3870947797</v>
      </c>
      <c r="AC41" s="428"/>
    </row>
    <row r="42" spans="1:29" ht="16.5" thickTop="1" thickBot="1">
      <c r="A42" s="432">
        <v>2</v>
      </c>
      <c r="B42" s="433" t="s">
        <v>852</v>
      </c>
      <c r="C42" s="433" t="s">
        <v>852</v>
      </c>
      <c r="D42" s="433" t="s">
        <v>839</v>
      </c>
      <c r="E42" s="432"/>
      <c r="F42" s="432"/>
      <c r="G42" s="432"/>
      <c r="H42" s="435" t="s">
        <v>1324</v>
      </c>
      <c r="I42" s="582"/>
      <c r="J42" s="582"/>
      <c r="K42" s="582"/>
      <c r="L42" s="582"/>
      <c r="M42" s="582"/>
      <c r="N42" s="582"/>
      <c r="O42" s="582"/>
      <c r="P42" s="582"/>
      <c r="Q42" s="582"/>
      <c r="R42" s="582"/>
      <c r="S42" s="582"/>
      <c r="T42" s="582"/>
      <c r="U42" s="582"/>
      <c r="V42" s="582"/>
      <c r="W42" s="582"/>
      <c r="X42" s="582"/>
      <c r="Y42" s="582">
        <f t="shared" si="6"/>
        <v>0</v>
      </c>
      <c r="Z42" s="582">
        <f t="shared" si="6"/>
        <v>0</v>
      </c>
      <c r="AA42" s="582">
        <f t="shared" si="6"/>
        <v>0</v>
      </c>
      <c r="AB42" s="582">
        <f t="shared" si="6"/>
        <v>0</v>
      </c>
      <c r="AC42" s="428"/>
    </row>
    <row r="43" spans="1:29" ht="16.5" thickTop="1" thickBot="1">
      <c r="A43" s="432">
        <v>2</v>
      </c>
      <c r="B43" s="433" t="s">
        <v>852</v>
      </c>
      <c r="C43" s="433" t="s">
        <v>852</v>
      </c>
      <c r="D43" s="433" t="s">
        <v>852</v>
      </c>
      <c r="E43" s="432"/>
      <c r="F43" s="432"/>
      <c r="G43" s="432"/>
      <c r="H43" s="435" t="s">
        <v>1325</v>
      </c>
      <c r="I43" s="582">
        <v>3870947797</v>
      </c>
      <c r="J43" s="582">
        <v>3870947797</v>
      </c>
      <c r="K43" s="582">
        <v>3870947797</v>
      </c>
      <c r="L43" s="582">
        <v>3870947797</v>
      </c>
      <c r="M43" s="582"/>
      <c r="N43" s="582"/>
      <c r="O43" s="582"/>
      <c r="P43" s="582"/>
      <c r="Q43" s="582"/>
      <c r="R43" s="582"/>
      <c r="S43" s="582"/>
      <c r="T43" s="582"/>
      <c r="U43" s="582"/>
      <c r="V43" s="582"/>
      <c r="W43" s="582"/>
      <c r="X43" s="582"/>
      <c r="Y43" s="582">
        <f t="shared" si="6"/>
        <v>3870947797</v>
      </c>
      <c r="Z43" s="582">
        <f t="shared" si="6"/>
        <v>3870947797</v>
      </c>
      <c r="AA43" s="582">
        <f t="shared" si="6"/>
        <v>3870947797</v>
      </c>
      <c r="AB43" s="582">
        <f t="shared" si="6"/>
        <v>3870947797</v>
      </c>
      <c r="AC43" s="428"/>
    </row>
    <row r="44" spans="1:29" ht="16.5" thickTop="1" thickBot="1">
      <c r="A44" s="432">
        <v>2</v>
      </c>
      <c r="B44" s="433" t="s">
        <v>852</v>
      </c>
      <c r="C44" s="433" t="s">
        <v>852</v>
      </c>
      <c r="D44" s="433" t="s">
        <v>854</v>
      </c>
      <c r="E44" s="432"/>
      <c r="F44" s="432"/>
      <c r="G44" s="432"/>
      <c r="H44" s="435" t="s">
        <v>1308</v>
      </c>
      <c r="I44" s="582"/>
      <c r="J44" s="582"/>
      <c r="K44" s="582"/>
      <c r="L44" s="582"/>
      <c r="M44" s="582"/>
      <c r="N44" s="582"/>
      <c r="O44" s="582"/>
      <c r="P44" s="582"/>
      <c r="Q44" s="582"/>
      <c r="R44" s="582"/>
      <c r="S44" s="582"/>
      <c r="T44" s="582"/>
      <c r="U44" s="582"/>
      <c r="V44" s="582"/>
      <c r="W44" s="582"/>
      <c r="X44" s="582"/>
      <c r="Y44" s="582">
        <f t="shared" si="6"/>
        <v>0</v>
      </c>
      <c r="Z44" s="582">
        <f t="shared" si="6"/>
        <v>0</v>
      </c>
      <c r="AA44" s="582">
        <f t="shared" si="6"/>
        <v>0</v>
      </c>
      <c r="AB44" s="582">
        <f t="shared" si="6"/>
        <v>0</v>
      </c>
      <c r="AC44" s="428"/>
    </row>
    <row r="45" spans="1:29" ht="16.5" thickTop="1" thickBot="1">
      <c r="A45" s="432">
        <v>2</v>
      </c>
      <c r="B45" s="433" t="s">
        <v>852</v>
      </c>
      <c r="C45" s="433" t="s">
        <v>852</v>
      </c>
      <c r="D45" s="433" t="s">
        <v>856</v>
      </c>
      <c r="E45" s="432"/>
      <c r="F45" s="432"/>
      <c r="G45" s="432"/>
      <c r="H45" s="435" t="s">
        <v>1326</v>
      </c>
      <c r="I45" s="584"/>
      <c r="J45" s="584"/>
      <c r="K45" s="584"/>
      <c r="L45" s="584"/>
      <c r="M45" s="584"/>
      <c r="N45" s="584"/>
      <c r="O45" s="584"/>
      <c r="P45" s="584"/>
      <c r="Q45" s="584"/>
      <c r="R45" s="584"/>
      <c r="S45" s="584"/>
      <c r="T45" s="584"/>
      <c r="U45" s="584"/>
      <c r="V45" s="584"/>
      <c r="W45" s="584"/>
      <c r="X45" s="584"/>
      <c r="Y45" s="584">
        <f t="shared" si="6"/>
        <v>0</v>
      </c>
      <c r="Z45" s="584">
        <f t="shared" si="6"/>
        <v>0</v>
      </c>
      <c r="AA45" s="584">
        <f t="shared" si="6"/>
        <v>0</v>
      </c>
      <c r="AB45" s="584">
        <f t="shared" si="6"/>
        <v>0</v>
      </c>
      <c r="AC45" s="428"/>
    </row>
    <row r="46" spans="1:29" s="441" customFormat="1" ht="16.5" thickTop="1" thickBot="1">
      <c r="A46" s="426">
        <v>2</v>
      </c>
      <c r="B46" s="426" t="s">
        <v>854</v>
      </c>
      <c r="C46" s="426"/>
      <c r="D46" s="426"/>
      <c r="E46" s="426"/>
      <c r="F46" s="426"/>
      <c r="G46" s="426"/>
      <c r="H46" s="427" t="s">
        <v>1327</v>
      </c>
      <c r="I46" s="580">
        <f>+I47+I52+I65+I70+I75+I80+I85+I90+I95+I108+I121+I138+I167+I208</f>
        <v>95112659334.759995</v>
      </c>
      <c r="J46" s="580">
        <f t="shared" ref="J46:AB46" si="21">+J47+J52+J65+J70+J75+J80+J85+J90+J95+J108+J121+J138+J167+J208</f>
        <v>63560805671.059998</v>
      </c>
      <c r="K46" s="580">
        <f t="shared" si="21"/>
        <v>43891586590</v>
      </c>
      <c r="L46" s="580">
        <f t="shared" si="21"/>
        <v>41100104279</v>
      </c>
      <c r="M46" s="580">
        <f t="shared" si="21"/>
        <v>0</v>
      </c>
      <c r="N46" s="580">
        <f t="shared" si="21"/>
        <v>0</v>
      </c>
      <c r="O46" s="580">
        <f t="shared" si="21"/>
        <v>0</v>
      </c>
      <c r="P46" s="580">
        <f t="shared" si="21"/>
        <v>0</v>
      </c>
      <c r="Q46" s="580">
        <f t="shared" si="21"/>
        <v>0</v>
      </c>
      <c r="R46" s="580">
        <f t="shared" si="21"/>
        <v>0</v>
      </c>
      <c r="S46" s="580">
        <f t="shared" si="21"/>
        <v>0</v>
      </c>
      <c r="T46" s="580">
        <f t="shared" si="21"/>
        <v>0</v>
      </c>
      <c r="U46" s="580">
        <f t="shared" si="21"/>
        <v>0</v>
      </c>
      <c r="V46" s="580">
        <f t="shared" si="21"/>
        <v>0</v>
      </c>
      <c r="W46" s="580">
        <f t="shared" si="21"/>
        <v>0</v>
      </c>
      <c r="X46" s="580">
        <f t="shared" si="21"/>
        <v>0</v>
      </c>
      <c r="Y46" s="580">
        <f t="shared" si="21"/>
        <v>95112659334.759995</v>
      </c>
      <c r="Z46" s="580">
        <f t="shared" si="21"/>
        <v>63560805671.059998</v>
      </c>
      <c r="AA46" s="580">
        <f t="shared" si="21"/>
        <v>43891586590</v>
      </c>
      <c r="AB46" s="580">
        <f t="shared" si="21"/>
        <v>41100104279</v>
      </c>
      <c r="AC46" s="428"/>
    </row>
    <row r="47" spans="1:29" ht="16.5" thickTop="1" thickBot="1">
      <c r="A47" s="445">
        <v>2</v>
      </c>
      <c r="B47" s="429" t="s">
        <v>854</v>
      </c>
      <c r="C47" s="429" t="s">
        <v>839</v>
      </c>
      <c r="D47" s="429"/>
      <c r="E47" s="445"/>
      <c r="F47" s="445"/>
      <c r="G47" s="445"/>
      <c r="H47" s="446" t="s">
        <v>1328</v>
      </c>
      <c r="I47" s="592">
        <f>+I48</f>
        <v>396153089</v>
      </c>
      <c r="J47" s="592">
        <f t="shared" ref="J47:AB50" si="22">+J48</f>
        <v>387503911</v>
      </c>
      <c r="K47" s="592">
        <f t="shared" si="22"/>
        <v>365040611</v>
      </c>
      <c r="L47" s="592">
        <f t="shared" si="22"/>
        <v>364217892</v>
      </c>
      <c r="M47" s="592">
        <f t="shared" si="22"/>
        <v>0</v>
      </c>
      <c r="N47" s="592">
        <f t="shared" si="22"/>
        <v>0</v>
      </c>
      <c r="O47" s="592">
        <f t="shared" si="22"/>
        <v>0</v>
      </c>
      <c r="P47" s="592">
        <f t="shared" si="22"/>
        <v>0</v>
      </c>
      <c r="Q47" s="592">
        <f t="shared" si="22"/>
        <v>0</v>
      </c>
      <c r="R47" s="592">
        <f t="shared" si="22"/>
        <v>0</v>
      </c>
      <c r="S47" s="592">
        <f t="shared" si="22"/>
        <v>0</v>
      </c>
      <c r="T47" s="592">
        <f t="shared" si="22"/>
        <v>0</v>
      </c>
      <c r="U47" s="592">
        <f t="shared" si="22"/>
        <v>0</v>
      </c>
      <c r="V47" s="592">
        <f t="shared" si="22"/>
        <v>0</v>
      </c>
      <c r="W47" s="592">
        <f t="shared" si="22"/>
        <v>0</v>
      </c>
      <c r="X47" s="592">
        <f t="shared" si="22"/>
        <v>0</v>
      </c>
      <c r="Y47" s="592">
        <f t="shared" si="22"/>
        <v>396153089</v>
      </c>
      <c r="Z47" s="592">
        <f t="shared" si="22"/>
        <v>387503911</v>
      </c>
      <c r="AA47" s="592">
        <f t="shared" si="22"/>
        <v>365040611</v>
      </c>
      <c r="AB47" s="592">
        <f t="shared" si="22"/>
        <v>364217892</v>
      </c>
      <c r="AC47" s="428"/>
    </row>
    <row r="48" spans="1:29" ht="16.5" thickTop="1" thickBot="1">
      <c r="A48" s="443">
        <v>2</v>
      </c>
      <c r="B48" s="443" t="s">
        <v>854</v>
      </c>
      <c r="C48" s="443" t="s">
        <v>839</v>
      </c>
      <c r="D48" s="443" t="s">
        <v>839</v>
      </c>
      <c r="E48" s="443"/>
      <c r="F48" s="443"/>
      <c r="G48" s="443"/>
      <c r="H48" s="447" t="s">
        <v>1329</v>
      </c>
      <c r="I48" s="588">
        <f>+I49</f>
        <v>396153089</v>
      </c>
      <c r="J48" s="588">
        <f t="shared" si="22"/>
        <v>387503911</v>
      </c>
      <c r="K48" s="588">
        <f t="shared" si="22"/>
        <v>365040611</v>
      </c>
      <c r="L48" s="588">
        <f t="shared" si="22"/>
        <v>364217892</v>
      </c>
      <c r="M48" s="588">
        <f t="shared" si="22"/>
        <v>0</v>
      </c>
      <c r="N48" s="588">
        <f t="shared" si="22"/>
        <v>0</v>
      </c>
      <c r="O48" s="588">
        <f t="shared" si="22"/>
        <v>0</v>
      </c>
      <c r="P48" s="588">
        <f t="shared" si="22"/>
        <v>0</v>
      </c>
      <c r="Q48" s="588">
        <f t="shared" si="22"/>
        <v>0</v>
      </c>
      <c r="R48" s="588">
        <f t="shared" si="22"/>
        <v>0</v>
      </c>
      <c r="S48" s="588">
        <f t="shared" si="22"/>
        <v>0</v>
      </c>
      <c r="T48" s="588">
        <f t="shared" si="22"/>
        <v>0</v>
      </c>
      <c r="U48" s="588">
        <f t="shared" si="22"/>
        <v>0</v>
      </c>
      <c r="V48" s="588">
        <f t="shared" si="22"/>
        <v>0</v>
      </c>
      <c r="W48" s="588">
        <f t="shared" si="22"/>
        <v>0</v>
      </c>
      <c r="X48" s="588">
        <f t="shared" si="22"/>
        <v>0</v>
      </c>
      <c r="Y48" s="588">
        <f t="shared" si="22"/>
        <v>396153089</v>
      </c>
      <c r="Z48" s="588">
        <f t="shared" si="22"/>
        <v>387503911</v>
      </c>
      <c r="AA48" s="588">
        <f t="shared" si="22"/>
        <v>365040611</v>
      </c>
      <c r="AB48" s="588">
        <f t="shared" si="22"/>
        <v>364217892</v>
      </c>
      <c r="AC48" s="428"/>
    </row>
    <row r="49" spans="1:59" ht="15.75" customHeight="1" thickTop="1" thickBot="1">
      <c r="A49" s="443">
        <v>3</v>
      </c>
      <c r="B49" s="443" t="s">
        <v>854</v>
      </c>
      <c r="C49" s="443" t="s">
        <v>839</v>
      </c>
      <c r="D49" s="443" t="s">
        <v>839</v>
      </c>
      <c r="E49" s="443" t="s">
        <v>839</v>
      </c>
      <c r="F49" s="443"/>
      <c r="G49" s="443"/>
      <c r="H49" s="447" t="s">
        <v>1330</v>
      </c>
      <c r="I49" s="588">
        <f>+I50</f>
        <v>396153089</v>
      </c>
      <c r="J49" s="588">
        <f t="shared" si="22"/>
        <v>387503911</v>
      </c>
      <c r="K49" s="588">
        <f t="shared" si="22"/>
        <v>365040611</v>
      </c>
      <c r="L49" s="588">
        <f t="shared" si="22"/>
        <v>364217892</v>
      </c>
      <c r="M49" s="588">
        <f t="shared" si="22"/>
        <v>0</v>
      </c>
      <c r="N49" s="588">
        <f t="shared" si="22"/>
        <v>0</v>
      </c>
      <c r="O49" s="588">
        <f t="shared" si="22"/>
        <v>0</v>
      </c>
      <c r="P49" s="588">
        <f t="shared" si="22"/>
        <v>0</v>
      </c>
      <c r="Q49" s="588">
        <f t="shared" si="22"/>
        <v>0</v>
      </c>
      <c r="R49" s="588">
        <f t="shared" si="22"/>
        <v>0</v>
      </c>
      <c r="S49" s="588">
        <f t="shared" si="22"/>
        <v>0</v>
      </c>
      <c r="T49" s="588">
        <f t="shared" si="22"/>
        <v>0</v>
      </c>
      <c r="U49" s="588">
        <f t="shared" si="22"/>
        <v>0</v>
      </c>
      <c r="V49" s="588">
        <f t="shared" si="22"/>
        <v>0</v>
      </c>
      <c r="W49" s="588">
        <f t="shared" si="22"/>
        <v>0</v>
      </c>
      <c r="X49" s="588">
        <f t="shared" si="22"/>
        <v>0</v>
      </c>
      <c r="Y49" s="588">
        <f t="shared" si="22"/>
        <v>396153089</v>
      </c>
      <c r="Z49" s="588">
        <f t="shared" si="22"/>
        <v>387503911</v>
      </c>
      <c r="AA49" s="588">
        <f t="shared" si="22"/>
        <v>365040611</v>
      </c>
      <c r="AB49" s="588">
        <f t="shared" si="22"/>
        <v>364217892</v>
      </c>
      <c r="AC49" s="428"/>
    </row>
    <row r="50" spans="1:59" ht="15.75" customHeight="1" thickTop="1" thickBot="1">
      <c r="A50" s="432">
        <v>2</v>
      </c>
      <c r="B50" s="432" t="s">
        <v>854</v>
      </c>
      <c r="C50" s="432" t="s">
        <v>839</v>
      </c>
      <c r="D50" s="432" t="s">
        <v>839</v>
      </c>
      <c r="E50" s="433" t="s">
        <v>839</v>
      </c>
      <c r="F50" s="433" t="s">
        <v>839</v>
      </c>
      <c r="G50" s="432"/>
      <c r="H50" s="448" t="s">
        <v>1331</v>
      </c>
      <c r="I50" s="582">
        <f>+I51</f>
        <v>396153089</v>
      </c>
      <c r="J50" s="582">
        <f t="shared" si="22"/>
        <v>387503911</v>
      </c>
      <c r="K50" s="582">
        <f t="shared" si="22"/>
        <v>365040611</v>
      </c>
      <c r="L50" s="582">
        <f t="shared" si="22"/>
        <v>364217892</v>
      </c>
      <c r="M50" s="582">
        <f t="shared" si="22"/>
        <v>0</v>
      </c>
      <c r="N50" s="582">
        <f t="shared" si="22"/>
        <v>0</v>
      </c>
      <c r="O50" s="582">
        <f t="shared" si="22"/>
        <v>0</v>
      </c>
      <c r="P50" s="582">
        <f t="shared" si="22"/>
        <v>0</v>
      </c>
      <c r="Q50" s="582">
        <f t="shared" si="22"/>
        <v>0</v>
      </c>
      <c r="R50" s="582">
        <f t="shared" si="22"/>
        <v>0</v>
      </c>
      <c r="S50" s="582">
        <f t="shared" si="22"/>
        <v>0</v>
      </c>
      <c r="T50" s="582">
        <f t="shared" si="22"/>
        <v>0</v>
      </c>
      <c r="U50" s="582">
        <f t="shared" si="22"/>
        <v>0</v>
      </c>
      <c r="V50" s="582">
        <f t="shared" si="22"/>
        <v>0</v>
      </c>
      <c r="W50" s="582">
        <f t="shared" si="22"/>
        <v>0</v>
      </c>
      <c r="X50" s="582">
        <f t="shared" si="22"/>
        <v>0</v>
      </c>
      <c r="Y50" s="582">
        <f t="shared" si="22"/>
        <v>396153089</v>
      </c>
      <c r="Z50" s="582">
        <f t="shared" si="22"/>
        <v>387503911</v>
      </c>
      <c r="AA50" s="582">
        <f t="shared" si="22"/>
        <v>365040611</v>
      </c>
      <c r="AB50" s="582">
        <f t="shared" si="22"/>
        <v>364217892</v>
      </c>
      <c r="AC50" s="428"/>
    </row>
    <row r="51" spans="1:59" ht="15.75" customHeight="1" thickTop="1" thickBot="1">
      <c r="A51" s="432">
        <v>2</v>
      </c>
      <c r="B51" s="432" t="s">
        <v>854</v>
      </c>
      <c r="C51" s="432" t="s">
        <v>839</v>
      </c>
      <c r="D51" s="432" t="s">
        <v>839</v>
      </c>
      <c r="E51" s="433" t="s">
        <v>839</v>
      </c>
      <c r="F51" s="433" t="s">
        <v>839</v>
      </c>
      <c r="G51" s="433" t="s">
        <v>839</v>
      </c>
      <c r="H51" s="448" t="s">
        <v>1332</v>
      </c>
      <c r="I51" s="582">
        <v>396153089</v>
      </c>
      <c r="J51" s="582">
        <v>387503911</v>
      </c>
      <c r="K51" s="582">
        <v>365040611</v>
      </c>
      <c r="L51" s="582">
        <v>364217892</v>
      </c>
      <c r="M51" s="582"/>
      <c r="N51" s="582"/>
      <c r="O51" s="582"/>
      <c r="P51" s="582"/>
      <c r="Q51" s="582"/>
      <c r="R51" s="582"/>
      <c r="S51" s="582"/>
      <c r="T51" s="582"/>
      <c r="U51" s="582"/>
      <c r="V51" s="582"/>
      <c r="W51" s="582"/>
      <c r="X51" s="582"/>
      <c r="Y51" s="582">
        <f>+I51+M51+Q51+U51</f>
        <v>396153089</v>
      </c>
      <c r="Z51" s="582">
        <f>+J51+N51+R51+V51</f>
        <v>387503911</v>
      </c>
      <c r="AA51" s="582">
        <f>+K51+O51+S51+W51</f>
        <v>365040611</v>
      </c>
      <c r="AB51" s="582">
        <f>+L51+P51+T51+X51</f>
        <v>364217892</v>
      </c>
      <c r="AC51" s="428"/>
    </row>
    <row r="52" spans="1:59" ht="15.75" customHeight="1" thickTop="1" thickBot="1">
      <c r="A52" s="445">
        <v>2</v>
      </c>
      <c r="B52" s="445" t="s">
        <v>854</v>
      </c>
      <c r="C52" s="445" t="s">
        <v>852</v>
      </c>
      <c r="D52" s="445"/>
      <c r="E52" s="445"/>
      <c r="F52" s="445"/>
      <c r="G52" s="445"/>
      <c r="H52" s="449" t="s">
        <v>1333</v>
      </c>
      <c r="I52" s="593">
        <f>+I53+I57+I61</f>
        <v>36655997742.309998</v>
      </c>
      <c r="J52" s="593">
        <f t="shared" ref="J52:AB52" si="23">+J53+J57+J61</f>
        <v>36574898240.900002</v>
      </c>
      <c r="K52" s="593">
        <f t="shared" si="23"/>
        <v>31069662272</v>
      </c>
      <c r="L52" s="593">
        <f t="shared" si="23"/>
        <v>30952957672</v>
      </c>
      <c r="M52" s="593">
        <f t="shared" si="23"/>
        <v>0</v>
      </c>
      <c r="N52" s="593">
        <f t="shared" si="23"/>
        <v>0</v>
      </c>
      <c r="O52" s="593">
        <f t="shared" si="23"/>
        <v>0</v>
      </c>
      <c r="P52" s="593">
        <f t="shared" si="23"/>
        <v>0</v>
      </c>
      <c r="Q52" s="593">
        <f t="shared" si="23"/>
        <v>0</v>
      </c>
      <c r="R52" s="593">
        <f t="shared" si="23"/>
        <v>0</v>
      </c>
      <c r="S52" s="593">
        <f t="shared" si="23"/>
        <v>0</v>
      </c>
      <c r="T52" s="593">
        <f t="shared" si="23"/>
        <v>0</v>
      </c>
      <c r="U52" s="593">
        <f t="shared" si="23"/>
        <v>0</v>
      </c>
      <c r="V52" s="593">
        <f t="shared" si="23"/>
        <v>0</v>
      </c>
      <c r="W52" s="593">
        <f t="shared" si="23"/>
        <v>0</v>
      </c>
      <c r="X52" s="593">
        <f t="shared" si="23"/>
        <v>0</v>
      </c>
      <c r="Y52" s="593">
        <f t="shared" si="23"/>
        <v>36655997742.309998</v>
      </c>
      <c r="Z52" s="593">
        <f t="shared" si="23"/>
        <v>36574898240.900002</v>
      </c>
      <c r="AA52" s="593">
        <f t="shared" si="23"/>
        <v>31069662272</v>
      </c>
      <c r="AB52" s="593">
        <f t="shared" si="23"/>
        <v>30952957672</v>
      </c>
      <c r="AC52" s="428"/>
    </row>
    <row r="53" spans="1:59" ht="15.75" customHeight="1" thickTop="1" thickBot="1">
      <c r="A53" s="443">
        <v>2</v>
      </c>
      <c r="B53" s="443" t="s">
        <v>854</v>
      </c>
      <c r="C53" s="443" t="s">
        <v>852</v>
      </c>
      <c r="D53" s="443" t="s">
        <v>839</v>
      </c>
      <c r="E53" s="443"/>
      <c r="F53" s="443"/>
      <c r="G53" s="443"/>
      <c r="H53" s="450" t="s">
        <v>1334</v>
      </c>
      <c r="I53" s="588">
        <f>+I54</f>
        <v>5376651240</v>
      </c>
      <c r="J53" s="588">
        <f t="shared" ref="J53:X55" si="24">+J54</f>
        <v>5376651240</v>
      </c>
      <c r="K53" s="588">
        <f t="shared" si="24"/>
        <v>5376651240</v>
      </c>
      <c r="L53" s="588">
        <f t="shared" si="24"/>
        <v>5376651240</v>
      </c>
      <c r="M53" s="588">
        <f t="shared" si="24"/>
        <v>0</v>
      </c>
      <c r="N53" s="588">
        <f t="shared" si="24"/>
        <v>0</v>
      </c>
      <c r="O53" s="588">
        <f t="shared" si="24"/>
        <v>0</v>
      </c>
      <c r="P53" s="588">
        <f t="shared" si="24"/>
        <v>0</v>
      </c>
      <c r="Q53" s="588">
        <f t="shared" si="24"/>
        <v>0</v>
      </c>
      <c r="R53" s="588">
        <f t="shared" si="24"/>
        <v>0</v>
      </c>
      <c r="S53" s="588">
        <f t="shared" si="24"/>
        <v>0</v>
      </c>
      <c r="T53" s="588">
        <f t="shared" si="24"/>
        <v>0</v>
      </c>
      <c r="U53" s="588">
        <f t="shared" si="24"/>
        <v>0</v>
      </c>
      <c r="V53" s="588">
        <f t="shared" si="24"/>
        <v>0</v>
      </c>
      <c r="W53" s="588">
        <f t="shared" si="24"/>
        <v>0</v>
      </c>
      <c r="X53" s="588">
        <f t="shared" si="24"/>
        <v>0</v>
      </c>
      <c r="Y53" s="588">
        <f>+I53+M53+Q53+U53</f>
        <v>5376651240</v>
      </c>
      <c r="Z53" s="588">
        <f>+J53+N53+R53+V53</f>
        <v>5376651240</v>
      </c>
      <c r="AA53" s="588">
        <f>+K53+O53+S53+W53</f>
        <v>5376651240</v>
      </c>
      <c r="AB53" s="588">
        <f>+L53+P53+T53+X53</f>
        <v>5376651240</v>
      </c>
      <c r="AC53" s="428"/>
    </row>
    <row r="54" spans="1:59" ht="15.75" customHeight="1" thickTop="1" thickBot="1">
      <c r="A54" s="443">
        <v>2</v>
      </c>
      <c r="B54" s="443" t="s">
        <v>854</v>
      </c>
      <c r="C54" s="443" t="s">
        <v>852</v>
      </c>
      <c r="D54" s="443" t="s">
        <v>839</v>
      </c>
      <c r="E54" s="443" t="s">
        <v>839</v>
      </c>
      <c r="F54" s="443"/>
      <c r="G54" s="443"/>
      <c r="H54" s="447" t="s">
        <v>1335</v>
      </c>
      <c r="I54" s="588">
        <f>+I55</f>
        <v>5376651240</v>
      </c>
      <c r="J54" s="588">
        <f t="shared" si="24"/>
        <v>5376651240</v>
      </c>
      <c r="K54" s="588">
        <f t="shared" si="24"/>
        <v>5376651240</v>
      </c>
      <c r="L54" s="588">
        <f t="shared" si="24"/>
        <v>5376651240</v>
      </c>
      <c r="M54" s="588">
        <f t="shared" si="24"/>
        <v>0</v>
      </c>
      <c r="N54" s="588">
        <f t="shared" si="24"/>
        <v>0</v>
      </c>
      <c r="O54" s="588">
        <f t="shared" si="24"/>
        <v>0</v>
      </c>
      <c r="P54" s="588">
        <f t="shared" si="24"/>
        <v>0</v>
      </c>
      <c r="Q54" s="588">
        <f t="shared" si="24"/>
        <v>0</v>
      </c>
      <c r="R54" s="588">
        <f t="shared" si="24"/>
        <v>0</v>
      </c>
      <c r="S54" s="588">
        <f t="shared" si="24"/>
        <v>0</v>
      </c>
      <c r="T54" s="588">
        <f t="shared" si="24"/>
        <v>0</v>
      </c>
      <c r="U54" s="588">
        <f t="shared" si="24"/>
        <v>0</v>
      </c>
      <c r="V54" s="588">
        <f t="shared" si="24"/>
        <v>0</v>
      </c>
      <c r="W54" s="588">
        <f t="shared" si="24"/>
        <v>0</v>
      </c>
      <c r="X54" s="588">
        <f t="shared" si="24"/>
        <v>0</v>
      </c>
      <c r="Y54" s="588"/>
      <c r="Z54" s="588"/>
      <c r="AA54" s="588"/>
      <c r="AB54" s="588"/>
      <c r="AC54" s="428"/>
    </row>
    <row r="55" spans="1:59" ht="15.75" customHeight="1" thickTop="1" thickBot="1">
      <c r="A55" s="432">
        <v>2</v>
      </c>
      <c r="B55" s="432" t="s">
        <v>854</v>
      </c>
      <c r="C55" s="434" t="s">
        <v>852</v>
      </c>
      <c r="D55" s="432" t="s">
        <v>839</v>
      </c>
      <c r="E55" s="433" t="s">
        <v>839</v>
      </c>
      <c r="F55" s="432"/>
      <c r="G55" s="432"/>
      <c r="H55" s="448" t="s">
        <v>1336</v>
      </c>
      <c r="I55" s="582">
        <f>+I56</f>
        <v>5376651240</v>
      </c>
      <c r="J55" s="582">
        <f t="shared" si="24"/>
        <v>5376651240</v>
      </c>
      <c r="K55" s="582">
        <f t="shared" si="24"/>
        <v>5376651240</v>
      </c>
      <c r="L55" s="582">
        <f t="shared" si="24"/>
        <v>5376651240</v>
      </c>
      <c r="M55" s="582">
        <f t="shared" si="24"/>
        <v>0</v>
      </c>
      <c r="N55" s="582">
        <f t="shared" si="24"/>
        <v>0</v>
      </c>
      <c r="O55" s="582">
        <f t="shared" si="24"/>
        <v>0</v>
      </c>
      <c r="P55" s="582">
        <f t="shared" si="24"/>
        <v>0</v>
      </c>
      <c r="Q55" s="582">
        <f t="shared" si="24"/>
        <v>0</v>
      </c>
      <c r="R55" s="582">
        <f t="shared" si="24"/>
        <v>0</v>
      </c>
      <c r="S55" s="582">
        <f t="shared" si="24"/>
        <v>0</v>
      </c>
      <c r="T55" s="582">
        <f t="shared" si="24"/>
        <v>0</v>
      </c>
      <c r="U55" s="582">
        <f t="shared" si="24"/>
        <v>0</v>
      </c>
      <c r="V55" s="582">
        <f t="shared" si="24"/>
        <v>0</v>
      </c>
      <c r="W55" s="582">
        <f t="shared" si="24"/>
        <v>0</v>
      </c>
      <c r="X55" s="582">
        <f t="shared" si="24"/>
        <v>0</v>
      </c>
      <c r="Y55" s="582">
        <f t="shared" ref="Y55:AB56" si="25">+I55+M55+Q55+U55</f>
        <v>5376651240</v>
      </c>
      <c r="Z55" s="582">
        <f t="shared" si="25"/>
        <v>5376651240</v>
      </c>
      <c r="AA55" s="582">
        <f t="shared" si="25"/>
        <v>5376651240</v>
      </c>
      <c r="AB55" s="582">
        <f t="shared" si="25"/>
        <v>5376651240</v>
      </c>
      <c r="AC55" s="428"/>
    </row>
    <row r="56" spans="1:59" ht="15.75" customHeight="1" thickTop="1" thickBot="1">
      <c r="A56" s="432">
        <v>2</v>
      </c>
      <c r="B56" s="432" t="s">
        <v>854</v>
      </c>
      <c r="C56" s="434" t="s">
        <v>852</v>
      </c>
      <c r="D56" s="432" t="s">
        <v>839</v>
      </c>
      <c r="E56" s="433" t="s">
        <v>839</v>
      </c>
      <c r="F56" s="433" t="s">
        <v>839</v>
      </c>
      <c r="G56" s="432">
        <v>1</v>
      </c>
      <c r="H56" s="448" t="s">
        <v>1337</v>
      </c>
      <c r="I56" s="582">
        <v>5376651240</v>
      </c>
      <c r="J56" s="582">
        <v>5376651240</v>
      </c>
      <c r="K56" s="582">
        <v>5376651240</v>
      </c>
      <c r="L56" s="582">
        <v>5376651240</v>
      </c>
      <c r="M56" s="582"/>
      <c r="N56" s="582"/>
      <c r="O56" s="582"/>
      <c r="P56" s="582"/>
      <c r="Q56" s="582"/>
      <c r="R56" s="582"/>
      <c r="S56" s="582"/>
      <c r="T56" s="582"/>
      <c r="U56" s="582"/>
      <c r="V56" s="582"/>
      <c r="W56" s="582"/>
      <c r="X56" s="582"/>
      <c r="Y56" s="582">
        <f t="shared" si="25"/>
        <v>5376651240</v>
      </c>
      <c r="Z56" s="582">
        <f t="shared" si="25"/>
        <v>5376651240</v>
      </c>
      <c r="AA56" s="582">
        <f t="shared" si="25"/>
        <v>5376651240</v>
      </c>
      <c r="AB56" s="582">
        <f t="shared" si="25"/>
        <v>5376651240</v>
      </c>
      <c r="AC56" s="428"/>
    </row>
    <row r="57" spans="1:59" s="445" customFormat="1" ht="15.75" customHeight="1" thickTop="1" thickBot="1">
      <c r="A57" s="443">
        <v>2</v>
      </c>
      <c r="B57" s="443" t="s">
        <v>854</v>
      </c>
      <c r="C57" s="443" t="s">
        <v>852</v>
      </c>
      <c r="D57" s="443" t="s">
        <v>839</v>
      </c>
      <c r="E57" s="443"/>
      <c r="F57" s="443"/>
      <c r="G57" s="443"/>
      <c r="H57" s="450" t="s">
        <v>1338</v>
      </c>
      <c r="I57" s="588">
        <f>+I58</f>
        <v>27218924156</v>
      </c>
      <c r="J57" s="588">
        <f t="shared" ref="J57:AB59" si="26">+J58</f>
        <v>27218924156</v>
      </c>
      <c r="K57" s="588">
        <f t="shared" si="26"/>
        <v>22079707294</v>
      </c>
      <c r="L57" s="588">
        <f t="shared" si="26"/>
        <v>22079707294</v>
      </c>
      <c r="M57" s="588">
        <f t="shared" si="26"/>
        <v>0</v>
      </c>
      <c r="N57" s="588">
        <f t="shared" si="26"/>
        <v>0</v>
      </c>
      <c r="O57" s="588">
        <f t="shared" si="26"/>
        <v>0</v>
      </c>
      <c r="P57" s="588">
        <f t="shared" si="26"/>
        <v>0</v>
      </c>
      <c r="Q57" s="588">
        <f t="shared" si="26"/>
        <v>0</v>
      </c>
      <c r="R57" s="588">
        <f t="shared" si="26"/>
        <v>0</v>
      </c>
      <c r="S57" s="588">
        <f t="shared" si="26"/>
        <v>0</v>
      </c>
      <c r="T57" s="588">
        <f t="shared" si="26"/>
        <v>0</v>
      </c>
      <c r="U57" s="588">
        <f t="shared" si="26"/>
        <v>0</v>
      </c>
      <c r="V57" s="588">
        <f t="shared" si="26"/>
        <v>0</v>
      </c>
      <c r="W57" s="588">
        <f t="shared" si="26"/>
        <v>0</v>
      </c>
      <c r="X57" s="588">
        <f t="shared" si="26"/>
        <v>0</v>
      </c>
      <c r="Y57" s="588">
        <f t="shared" si="26"/>
        <v>27218924156</v>
      </c>
      <c r="Z57" s="588">
        <f t="shared" si="26"/>
        <v>27218924156</v>
      </c>
      <c r="AA57" s="588">
        <f t="shared" si="26"/>
        <v>22079707294</v>
      </c>
      <c r="AB57" s="588">
        <f t="shared" si="26"/>
        <v>22079707294</v>
      </c>
      <c r="AC57" s="428"/>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row>
    <row r="58" spans="1:59" s="443" customFormat="1" ht="15.75" customHeight="1" thickTop="1" thickBot="1">
      <c r="A58" s="443">
        <v>2</v>
      </c>
      <c r="B58" s="443" t="s">
        <v>854</v>
      </c>
      <c r="C58" s="443" t="s">
        <v>852</v>
      </c>
      <c r="D58" s="443" t="s">
        <v>839</v>
      </c>
      <c r="E58" s="443" t="s">
        <v>839</v>
      </c>
      <c r="H58" s="447" t="s">
        <v>1335</v>
      </c>
      <c r="I58" s="588">
        <f>+I59</f>
        <v>27218924156</v>
      </c>
      <c r="J58" s="588">
        <f t="shared" si="26"/>
        <v>27218924156</v>
      </c>
      <c r="K58" s="588">
        <f t="shared" si="26"/>
        <v>22079707294</v>
      </c>
      <c r="L58" s="588">
        <f t="shared" si="26"/>
        <v>22079707294</v>
      </c>
      <c r="M58" s="588">
        <f t="shared" si="26"/>
        <v>0</v>
      </c>
      <c r="N58" s="588">
        <f t="shared" si="26"/>
        <v>0</v>
      </c>
      <c r="O58" s="588">
        <f t="shared" si="26"/>
        <v>0</v>
      </c>
      <c r="P58" s="588">
        <f t="shared" si="26"/>
        <v>0</v>
      </c>
      <c r="Q58" s="588">
        <f t="shared" si="26"/>
        <v>0</v>
      </c>
      <c r="R58" s="588">
        <f t="shared" si="26"/>
        <v>0</v>
      </c>
      <c r="S58" s="588">
        <f t="shared" si="26"/>
        <v>0</v>
      </c>
      <c r="T58" s="588">
        <f t="shared" si="26"/>
        <v>0</v>
      </c>
      <c r="U58" s="588">
        <f t="shared" si="26"/>
        <v>0</v>
      </c>
      <c r="V58" s="588">
        <f t="shared" si="26"/>
        <v>0</v>
      </c>
      <c r="W58" s="588">
        <f t="shared" si="26"/>
        <v>0</v>
      </c>
      <c r="X58" s="588">
        <f t="shared" si="26"/>
        <v>0</v>
      </c>
      <c r="Y58" s="588">
        <f t="shared" si="26"/>
        <v>27218924156</v>
      </c>
      <c r="Z58" s="588">
        <f t="shared" si="26"/>
        <v>27218924156</v>
      </c>
      <c r="AA58" s="588">
        <f t="shared" si="26"/>
        <v>22079707294</v>
      </c>
      <c r="AB58" s="588">
        <f t="shared" si="26"/>
        <v>22079707294</v>
      </c>
      <c r="AC58" s="428"/>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row>
    <row r="59" spans="1:59" ht="15.75" customHeight="1" thickTop="1" thickBot="1">
      <c r="A59" s="432">
        <v>2</v>
      </c>
      <c r="B59" s="432" t="s">
        <v>854</v>
      </c>
      <c r="C59" s="434" t="s">
        <v>852</v>
      </c>
      <c r="D59" s="432" t="s">
        <v>839</v>
      </c>
      <c r="E59" s="433" t="s">
        <v>839</v>
      </c>
      <c r="F59" s="432"/>
      <c r="G59" s="432"/>
      <c r="H59" s="448" t="s">
        <v>1336</v>
      </c>
      <c r="I59" s="582">
        <f>+I60</f>
        <v>27218924156</v>
      </c>
      <c r="J59" s="582">
        <f t="shared" si="26"/>
        <v>27218924156</v>
      </c>
      <c r="K59" s="582">
        <f t="shared" si="26"/>
        <v>22079707294</v>
      </c>
      <c r="L59" s="582">
        <f t="shared" si="26"/>
        <v>22079707294</v>
      </c>
      <c r="M59" s="582">
        <f t="shared" si="26"/>
        <v>0</v>
      </c>
      <c r="N59" s="582">
        <f t="shared" si="26"/>
        <v>0</v>
      </c>
      <c r="O59" s="582">
        <f t="shared" si="26"/>
        <v>0</v>
      </c>
      <c r="P59" s="582">
        <f t="shared" si="26"/>
        <v>0</v>
      </c>
      <c r="Q59" s="582">
        <f t="shared" si="26"/>
        <v>0</v>
      </c>
      <c r="R59" s="582">
        <f t="shared" si="26"/>
        <v>0</v>
      </c>
      <c r="S59" s="582">
        <f t="shared" si="26"/>
        <v>0</v>
      </c>
      <c r="T59" s="582">
        <f t="shared" si="26"/>
        <v>0</v>
      </c>
      <c r="U59" s="582">
        <f t="shared" si="26"/>
        <v>0</v>
      </c>
      <c r="V59" s="582">
        <f t="shared" si="26"/>
        <v>0</v>
      </c>
      <c r="W59" s="582">
        <f t="shared" si="26"/>
        <v>0</v>
      </c>
      <c r="X59" s="582">
        <f t="shared" si="26"/>
        <v>0</v>
      </c>
      <c r="Y59" s="582">
        <f t="shared" si="26"/>
        <v>27218924156</v>
      </c>
      <c r="Z59" s="582">
        <f t="shared" si="26"/>
        <v>27218924156</v>
      </c>
      <c r="AA59" s="582">
        <f t="shared" si="26"/>
        <v>22079707294</v>
      </c>
      <c r="AB59" s="582">
        <f t="shared" si="26"/>
        <v>22079707294</v>
      </c>
      <c r="AC59" s="428"/>
    </row>
    <row r="60" spans="1:59" ht="15.75" customHeight="1" thickTop="1" thickBot="1">
      <c r="A60" s="432">
        <v>2</v>
      </c>
      <c r="B60" s="432" t="s">
        <v>854</v>
      </c>
      <c r="C60" s="434" t="s">
        <v>852</v>
      </c>
      <c r="D60" s="432" t="s">
        <v>839</v>
      </c>
      <c r="E60" s="433" t="s">
        <v>839</v>
      </c>
      <c r="F60" s="433" t="s">
        <v>839</v>
      </c>
      <c r="G60" s="432">
        <v>1</v>
      </c>
      <c r="H60" s="448" t="s">
        <v>1337</v>
      </c>
      <c r="I60" s="582">
        <v>27218924156</v>
      </c>
      <c r="J60" s="582">
        <v>27218924156</v>
      </c>
      <c r="K60" s="582">
        <v>22079707294</v>
      </c>
      <c r="L60" s="582">
        <v>22079707294</v>
      </c>
      <c r="M60" s="582"/>
      <c r="N60" s="582"/>
      <c r="O60" s="582"/>
      <c r="P60" s="582"/>
      <c r="Q60" s="582"/>
      <c r="R60" s="582"/>
      <c r="S60" s="582"/>
      <c r="T60" s="582"/>
      <c r="U60" s="582"/>
      <c r="V60" s="582"/>
      <c r="W60" s="582"/>
      <c r="X60" s="582"/>
      <c r="Y60" s="582">
        <f>+I60+M60+Q60+U60</f>
        <v>27218924156</v>
      </c>
      <c r="Z60" s="582">
        <f>+J60+N60+R60+V60</f>
        <v>27218924156</v>
      </c>
      <c r="AA60" s="582">
        <f>+K60+O60+S60+W60</f>
        <v>22079707294</v>
      </c>
      <c r="AB60" s="582">
        <f>+L60+P60+T60+X60</f>
        <v>22079707294</v>
      </c>
      <c r="AC60" s="428"/>
    </row>
    <row r="61" spans="1:59" ht="15.75" customHeight="1" thickTop="1" thickBot="1">
      <c r="A61" s="443">
        <v>2</v>
      </c>
      <c r="B61" s="443" t="s">
        <v>854</v>
      </c>
      <c r="C61" s="443" t="s">
        <v>852</v>
      </c>
      <c r="D61" s="443" t="s">
        <v>839</v>
      </c>
      <c r="E61" s="443"/>
      <c r="F61" s="443"/>
      <c r="G61" s="443"/>
      <c r="H61" s="450" t="s">
        <v>1339</v>
      </c>
      <c r="I61" s="588">
        <f>+I62</f>
        <v>4060422346.3099999</v>
      </c>
      <c r="J61" s="588">
        <f t="shared" ref="J61:AB63" si="27">+J62</f>
        <v>3979322844.9000001</v>
      </c>
      <c r="K61" s="588">
        <f t="shared" si="27"/>
        <v>3613303738</v>
      </c>
      <c r="L61" s="588">
        <f t="shared" si="27"/>
        <v>3496599138</v>
      </c>
      <c r="M61" s="588">
        <f t="shared" si="27"/>
        <v>0</v>
      </c>
      <c r="N61" s="588">
        <f t="shared" si="27"/>
        <v>0</v>
      </c>
      <c r="O61" s="588">
        <f t="shared" si="27"/>
        <v>0</v>
      </c>
      <c r="P61" s="588">
        <f t="shared" si="27"/>
        <v>0</v>
      </c>
      <c r="Q61" s="588">
        <f t="shared" si="27"/>
        <v>0</v>
      </c>
      <c r="R61" s="588">
        <f t="shared" si="27"/>
        <v>0</v>
      </c>
      <c r="S61" s="588">
        <f t="shared" si="27"/>
        <v>0</v>
      </c>
      <c r="T61" s="588">
        <f t="shared" si="27"/>
        <v>0</v>
      </c>
      <c r="U61" s="588">
        <f t="shared" si="27"/>
        <v>0</v>
      </c>
      <c r="V61" s="588">
        <f t="shared" si="27"/>
        <v>0</v>
      </c>
      <c r="W61" s="588">
        <f t="shared" si="27"/>
        <v>0</v>
      </c>
      <c r="X61" s="588">
        <f t="shared" si="27"/>
        <v>0</v>
      </c>
      <c r="Y61" s="588">
        <f t="shared" si="27"/>
        <v>4060422346.3099999</v>
      </c>
      <c r="Z61" s="588">
        <f t="shared" si="27"/>
        <v>3979322844.9000001</v>
      </c>
      <c r="AA61" s="588">
        <f t="shared" si="27"/>
        <v>3613303738</v>
      </c>
      <c r="AB61" s="588">
        <f t="shared" si="27"/>
        <v>3496599138</v>
      </c>
      <c r="AC61" s="428"/>
    </row>
    <row r="62" spans="1:59" s="447" customFormat="1" ht="15.75" customHeight="1" thickTop="1" thickBot="1">
      <c r="A62" s="443">
        <v>2</v>
      </c>
      <c r="B62" s="443" t="s">
        <v>854</v>
      </c>
      <c r="C62" s="443" t="s">
        <v>852</v>
      </c>
      <c r="D62" s="443" t="s">
        <v>839</v>
      </c>
      <c r="E62" s="443" t="s">
        <v>839</v>
      </c>
      <c r="F62" s="443"/>
      <c r="G62" s="443"/>
      <c r="H62" s="447" t="s">
        <v>1335</v>
      </c>
      <c r="I62" s="588">
        <f>+I63</f>
        <v>4060422346.3099999</v>
      </c>
      <c r="J62" s="588">
        <f t="shared" si="27"/>
        <v>3979322844.9000001</v>
      </c>
      <c r="K62" s="588">
        <f t="shared" si="27"/>
        <v>3613303738</v>
      </c>
      <c r="L62" s="588">
        <f t="shared" si="27"/>
        <v>3496599138</v>
      </c>
      <c r="M62" s="588">
        <f t="shared" si="27"/>
        <v>0</v>
      </c>
      <c r="N62" s="588">
        <f t="shared" si="27"/>
        <v>0</v>
      </c>
      <c r="O62" s="588">
        <f t="shared" si="27"/>
        <v>0</v>
      </c>
      <c r="P62" s="588">
        <f t="shared" si="27"/>
        <v>0</v>
      </c>
      <c r="Q62" s="588">
        <f t="shared" si="27"/>
        <v>0</v>
      </c>
      <c r="R62" s="588">
        <f t="shared" si="27"/>
        <v>0</v>
      </c>
      <c r="S62" s="588">
        <f t="shared" si="27"/>
        <v>0</v>
      </c>
      <c r="T62" s="588">
        <f t="shared" si="27"/>
        <v>0</v>
      </c>
      <c r="U62" s="588">
        <f t="shared" si="27"/>
        <v>0</v>
      </c>
      <c r="V62" s="588">
        <f t="shared" si="27"/>
        <v>0</v>
      </c>
      <c r="W62" s="588">
        <f t="shared" si="27"/>
        <v>0</v>
      </c>
      <c r="X62" s="588">
        <f t="shared" si="27"/>
        <v>0</v>
      </c>
      <c r="Y62" s="588">
        <f t="shared" si="27"/>
        <v>4060422346.3099999</v>
      </c>
      <c r="Z62" s="588">
        <f t="shared" si="27"/>
        <v>3979322844.9000001</v>
      </c>
      <c r="AA62" s="588">
        <f t="shared" si="27"/>
        <v>3613303738</v>
      </c>
      <c r="AB62" s="588">
        <f t="shared" si="27"/>
        <v>3496599138</v>
      </c>
      <c r="AC62" s="428"/>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row>
    <row r="63" spans="1:59" ht="15.75" customHeight="1" thickTop="1" thickBot="1">
      <c r="A63" s="432">
        <v>2</v>
      </c>
      <c r="B63" s="432" t="s">
        <v>854</v>
      </c>
      <c r="C63" s="434" t="s">
        <v>852</v>
      </c>
      <c r="D63" s="432" t="s">
        <v>839</v>
      </c>
      <c r="E63" s="433" t="s">
        <v>839</v>
      </c>
      <c r="F63" s="432"/>
      <c r="G63" s="432"/>
      <c r="H63" s="448" t="s">
        <v>1336</v>
      </c>
      <c r="I63" s="582">
        <f>+I64</f>
        <v>4060422346.3099999</v>
      </c>
      <c r="J63" s="582">
        <f t="shared" si="27"/>
        <v>3979322844.9000001</v>
      </c>
      <c r="K63" s="582">
        <f t="shared" si="27"/>
        <v>3613303738</v>
      </c>
      <c r="L63" s="582">
        <f t="shared" si="27"/>
        <v>3496599138</v>
      </c>
      <c r="M63" s="582">
        <f t="shared" si="27"/>
        <v>0</v>
      </c>
      <c r="N63" s="582">
        <f t="shared" si="27"/>
        <v>0</v>
      </c>
      <c r="O63" s="582">
        <f t="shared" si="27"/>
        <v>0</v>
      </c>
      <c r="P63" s="582">
        <f t="shared" si="27"/>
        <v>0</v>
      </c>
      <c r="Q63" s="582">
        <f t="shared" si="27"/>
        <v>0</v>
      </c>
      <c r="R63" s="582">
        <f t="shared" si="27"/>
        <v>0</v>
      </c>
      <c r="S63" s="582">
        <f t="shared" si="27"/>
        <v>0</v>
      </c>
      <c r="T63" s="582">
        <f t="shared" si="27"/>
        <v>0</v>
      </c>
      <c r="U63" s="582">
        <f t="shared" si="27"/>
        <v>0</v>
      </c>
      <c r="V63" s="582">
        <f t="shared" si="27"/>
        <v>0</v>
      </c>
      <c r="W63" s="582">
        <f t="shared" si="27"/>
        <v>0</v>
      </c>
      <c r="X63" s="582">
        <f t="shared" si="27"/>
        <v>0</v>
      </c>
      <c r="Y63" s="582">
        <f t="shared" si="27"/>
        <v>4060422346.3099999</v>
      </c>
      <c r="Z63" s="582">
        <f t="shared" si="27"/>
        <v>3979322844.9000001</v>
      </c>
      <c r="AA63" s="582">
        <f t="shared" si="27"/>
        <v>3613303738</v>
      </c>
      <c r="AB63" s="582">
        <f t="shared" si="27"/>
        <v>3496599138</v>
      </c>
      <c r="AC63" s="428"/>
    </row>
    <row r="64" spans="1:59" ht="15.75" customHeight="1" thickTop="1" thickBot="1">
      <c r="A64" s="432">
        <v>2</v>
      </c>
      <c r="B64" s="432" t="s">
        <v>854</v>
      </c>
      <c r="C64" s="434" t="s">
        <v>852</v>
      </c>
      <c r="D64" s="432" t="s">
        <v>839</v>
      </c>
      <c r="E64" s="433" t="s">
        <v>839</v>
      </c>
      <c r="F64" s="433" t="s">
        <v>839</v>
      </c>
      <c r="G64" s="432">
        <v>1</v>
      </c>
      <c r="H64" s="448" t="s">
        <v>1337</v>
      </c>
      <c r="I64" s="582">
        <v>4060422346.3099999</v>
      </c>
      <c r="J64" s="582">
        <v>3979322844.9000001</v>
      </c>
      <c r="K64" s="582">
        <v>3613303738</v>
      </c>
      <c r="L64" s="582">
        <v>3496599138</v>
      </c>
      <c r="M64" s="582"/>
      <c r="N64" s="582"/>
      <c r="O64" s="582"/>
      <c r="P64" s="582"/>
      <c r="Q64" s="582"/>
      <c r="R64" s="582"/>
      <c r="S64" s="582"/>
      <c r="T64" s="582"/>
      <c r="U64" s="582"/>
      <c r="V64" s="582"/>
      <c r="W64" s="582"/>
      <c r="X64" s="582"/>
      <c r="Y64" s="582">
        <f>+I64+M64+Q64+U64</f>
        <v>4060422346.3099999</v>
      </c>
      <c r="Z64" s="582">
        <f>+J64+N64+R64+V64</f>
        <v>3979322844.9000001</v>
      </c>
      <c r="AA64" s="582">
        <f>+K64+O64+S64+W64</f>
        <v>3613303738</v>
      </c>
      <c r="AB64" s="582">
        <f>+L64+P64+T64+X64</f>
        <v>3496599138</v>
      </c>
      <c r="AC64" s="428"/>
    </row>
    <row r="65" spans="1:29" ht="16.5" thickTop="1" thickBot="1">
      <c r="A65" s="445">
        <v>2</v>
      </c>
      <c r="B65" s="429" t="s">
        <v>854</v>
      </c>
      <c r="C65" s="429" t="s">
        <v>854</v>
      </c>
      <c r="D65" s="429"/>
      <c r="E65" s="445"/>
      <c r="F65" s="445"/>
      <c r="G65" s="445"/>
      <c r="H65" s="446" t="s">
        <v>1340</v>
      </c>
      <c r="I65" s="592">
        <f>+I66</f>
        <v>212044450.84</v>
      </c>
      <c r="J65" s="592">
        <f t="shared" ref="J65:AB68" si="28">+J66</f>
        <v>202888056</v>
      </c>
      <c r="K65" s="592">
        <f t="shared" si="28"/>
        <v>137225140</v>
      </c>
      <c r="L65" s="592">
        <f t="shared" si="28"/>
        <v>136240310</v>
      </c>
      <c r="M65" s="592">
        <f t="shared" si="28"/>
        <v>0</v>
      </c>
      <c r="N65" s="592">
        <f t="shared" si="28"/>
        <v>0</v>
      </c>
      <c r="O65" s="592">
        <f t="shared" si="28"/>
        <v>0</v>
      </c>
      <c r="P65" s="592">
        <f t="shared" si="28"/>
        <v>0</v>
      </c>
      <c r="Q65" s="592">
        <f t="shared" si="28"/>
        <v>0</v>
      </c>
      <c r="R65" s="592">
        <f t="shared" si="28"/>
        <v>0</v>
      </c>
      <c r="S65" s="592">
        <f t="shared" si="28"/>
        <v>0</v>
      </c>
      <c r="T65" s="592">
        <f t="shared" si="28"/>
        <v>0</v>
      </c>
      <c r="U65" s="592">
        <f t="shared" si="28"/>
        <v>0</v>
      </c>
      <c r="V65" s="592">
        <f t="shared" si="28"/>
        <v>0</v>
      </c>
      <c r="W65" s="592">
        <f t="shared" si="28"/>
        <v>0</v>
      </c>
      <c r="X65" s="592">
        <f t="shared" si="28"/>
        <v>0</v>
      </c>
      <c r="Y65" s="592">
        <f t="shared" si="28"/>
        <v>212044450.84</v>
      </c>
      <c r="Z65" s="592">
        <f t="shared" si="28"/>
        <v>202888056</v>
      </c>
      <c r="AA65" s="592">
        <f t="shared" si="28"/>
        <v>137225140</v>
      </c>
      <c r="AB65" s="592">
        <f t="shared" si="28"/>
        <v>136240310</v>
      </c>
      <c r="AC65" s="428"/>
    </row>
    <row r="66" spans="1:29" ht="16.5" thickTop="1" thickBot="1">
      <c r="A66" s="443">
        <v>2</v>
      </c>
      <c r="B66" s="443" t="s">
        <v>854</v>
      </c>
      <c r="C66" s="443" t="s">
        <v>854</v>
      </c>
      <c r="D66" s="443" t="s">
        <v>839</v>
      </c>
      <c r="E66" s="443"/>
      <c r="F66" s="443"/>
      <c r="G66" s="443"/>
      <c r="H66" s="447" t="s">
        <v>1341</v>
      </c>
      <c r="I66" s="588">
        <f>+I67</f>
        <v>212044450.84</v>
      </c>
      <c r="J66" s="588">
        <f t="shared" si="28"/>
        <v>202888056</v>
      </c>
      <c r="K66" s="588">
        <f t="shared" si="28"/>
        <v>137225140</v>
      </c>
      <c r="L66" s="588">
        <f t="shared" si="28"/>
        <v>136240310</v>
      </c>
      <c r="M66" s="588">
        <f t="shared" si="28"/>
        <v>0</v>
      </c>
      <c r="N66" s="588">
        <f t="shared" si="28"/>
        <v>0</v>
      </c>
      <c r="O66" s="588">
        <f t="shared" si="28"/>
        <v>0</v>
      </c>
      <c r="P66" s="588">
        <f t="shared" si="28"/>
        <v>0</v>
      </c>
      <c r="Q66" s="588">
        <f t="shared" si="28"/>
        <v>0</v>
      </c>
      <c r="R66" s="588">
        <f t="shared" si="28"/>
        <v>0</v>
      </c>
      <c r="S66" s="588">
        <f t="shared" si="28"/>
        <v>0</v>
      </c>
      <c r="T66" s="588">
        <f t="shared" si="28"/>
        <v>0</v>
      </c>
      <c r="U66" s="588">
        <f t="shared" si="28"/>
        <v>0</v>
      </c>
      <c r="V66" s="588">
        <f t="shared" si="28"/>
        <v>0</v>
      </c>
      <c r="W66" s="588">
        <f t="shared" si="28"/>
        <v>0</v>
      </c>
      <c r="X66" s="588">
        <f t="shared" si="28"/>
        <v>0</v>
      </c>
      <c r="Y66" s="588">
        <f t="shared" si="28"/>
        <v>212044450.84</v>
      </c>
      <c r="Z66" s="588">
        <f t="shared" si="28"/>
        <v>202888056</v>
      </c>
      <c r="AA66" s="588">
        <f t="shared" si="28"/>
        <v>137225140</v>
      </c>
      <c r="AB66" s="588">
        <f t="shared" si="28"/>
        <v>136240310</v>
      </c>
      <c r="AC66" s="428"/>
    </row>
    <row r="67" spans="1:29" ht="16.5" thickTop="1" thickBot="1">
      <c r="A67" s="443">
        <v>3</v>
      </c>
      <c r="B67" s="443" t="s">
        <v>854</v>
      </c>
      <c r="C67" s="443" t="s">
        <v>854</v>
      </c>
      <c r="D67" s="443" t="s">
        <v>839</v>
      </c>
      <c r="E67" s="443" t="s">
        <v>839</v>
      </c>
      <c r="F67" s="443"/>
      <c r="G67" s="443"/>
      <c r="H67" s="447" t="s">
        <v>1342</v>
      </c>
      <c r="I67" s="588">
        <f>+I68</f>
        <v>212044450.84</v>
      </c>
      <c r="J67" s="588">
        <f t="shared" si="28"/>
        <v>202888056</v>
      </c>
      <c r="K67" s="588">
        <f t="shared" si="28"/>
        <v>137225140</v>
      </c>
      <c r="L67" s="588">
        <f t="shared" si="28"/>
        <v>136240310</v>
      </c>
      <c r="M67" s="588">
        <f t="shared" si="28"/>
        <v>0</v>
      </c>
      <c r="N67" s="588">
        <f t="shared" si="28"/>
        <v>0</v>
      </c>
      <c r="O67" s="588">
        <f t="shared" si="28"/>
        <v>0</v>
      </c>
      <c r="P67" s="588">
        <f t="shared" si="28"/>
        <v>0</v>
      </c>
      <c r="Q67" s="588">
        <f t="shared" si="28"/>
        <v>0</v>
      </c>
      <c r="R67" s="588">
        <f t="shared" si="28"/>
        <v>0</v>
      </c>
      <c r="S67" s="588">
        <f t="shared" si="28"/>
        <v>0</v>
      </c>
      <c r="T67" s="588">
        <f t="shared" si="28"/>
        <v>0</v>
      </c>
      <c r="U67" s="588">
        <f t="shared" si="28"/>
        <v>0</v>
      </c>
      <c r="V67" s="588">
        <f t="shared" si="28"/>
        <v>0</v>
      </c>
      <c r="W67" s="588">
        <f t="shared" si="28"/>
        <v>0</v>
      </c>
      <c r="X67" s="588">
        <f t="shared" si="28"/>
        <v>0</v>
      </c>
      <c r="Y67" s="588">
        <f t="shared" si="28"/>
        <v>212044450.84</v>
      </c>
      <c r="Z67" s="588">
        <f t="shared" si="28"/>
        <v>202888056</v>
      </c>
      <c r="AA67" s="588">
        <f t="shared" si="28"/>
        <v>137225140</v>
      </c>
      <c r="AB67" s="588">
        <f t="shared" si="28"/>
        <v>136240310</v>
      </c>
      <c r="AC67" s="428"/>
    </row>
    <row r="68" spans="1:29" ht="16.5" thickTop="1" thickBot="1">
      <c r="A68" s="432">
        <v>2</v>
      </c>
      <c r="B68" s="432" t="s">
        <v>854</v>
      </c>
      <c r="C68" s="432" t="s">
        <v>854</v>
      </c>
      <c r="D68" s="432" t="s">
        <v>839</v>
      </c>
      <c r="E68" s="433" t="s">
        <v>839</v>
      </c>
      <c r="F68" s="433" t="s">
        <v>839</v>
      </c>
      <c r="G68" s="432"/>
      <c r="H68" s="448" t="s">
        <v>1336</v>
      </c>
      <c r="I68" s="582">
        <f>+I69</f>
        <v>212044450.84</v>
      </c>
      <c r="J68" s="582">
        <f t="shared" si="28"/>
        <v>202888056</v>
      </c>
      <c r="K68" s="582">
        <f t="shared" si="28"/>
        <v>137225140</v>
      </c>
      <c r="L68" s="582">
        <f t="shared" si="28"/>
        <v>136240310</v>
      </c>
      <c r="M68" s="582">
        <f t="shared" si="28"/>
        <v>0</v>
      </c>
      <c r="N68" s="582">
        <f t="shared" si="28"/>
        <v>0</v>
      </c>
      <c r="O68" s="582">
        <f t="shared" si="28"/>
        <v>0</v>
      </c>
      <c r="P68" s="582">
        <f t="shared" si="28"/>
        <v>0</v>
      </c>
      <c r="Q68" s="582">
        <f t="shared" si="28"/>
        <v>0</v>
      </c>
      <c r="R68" s="582">
        <f t="shared" si="28"/>
        <v>0</v>
      </c>
      <c r="S68" s="582">
        <f t="shared" si="28"/>
        <v>0</v>
      </c>
      <c r="T68" s="582">
        <f t="shared" si="28"/>
        <v>0</v>
      </c>
      <c r="U68" s="582">
        <f t="shared" si="28"/>
        <v>0</v>
      </c>
      <c r="V68" s="582">
        <f t="shared" si="28"/>
        <v>0</v>
      </c>
      <c r="W68" s="582">
        <f t="shared" si="28"/>
        <v>0</v>
      </c>
      <c r="X68" s="582">
        <f t="shared" si="28"/>
        <v>0</v>
      </c>
      <c r="Y68" s="582">
        <f t="shared" si="28"/>
        <v>212044450.84</v>
      </c>
      <c r="Z68" s="582">
        <f t="shared" si="28"/>
        <v>202888056</v>
      </c>
      <c r="AA68" s="582">
        <f t="shared" si="28"/>
        <v>137225140</v>
      </c>
      <c r="AB68" s="582">
        <f t="shared" si="28"/>
        <v>136240310</v>
      </c>
      <c r="AC68" s="428"/>
    </row>
    <row r="69" spans="1:29" ht="16.5" thickTop="1" thickBot="1">
      <c r="A69" s="432">
        <v>2</v>
      </c>
      <c r="B69" s="432" t="s">
        <v>854</v>
      </c>
      <c r="C69" s="432" t="s">
        <v>854</v>
      </c>
      <c r="D69" s="432" t="s">
        <v>839</v>
      </c>
      <c r="E69" s="433" t="s">
        <v>839</v>
      </c>
      <c r="F69" s="433" t="s">
        <v>839</v>
      </c>
      <c r="G69" s="433" t="s">
        <v>839</v>
      </c>
      <c r="H69" s="448" t="s">
        <v>1337</v>
      </c>
      <c r="I69" s="582">
        <v>212044450.84</v>
      </c>
      <c r="J69" s="582">
        <v>202888056</v>
      </c>
      <c r="K69" s="582">
        <v>137225140</v>
      </c>
      <c r="L69" s="582">
        <v>136240310</v>
      </c>
      <c r="M69" s="582"/>
      <c r="N69" s="582"/>
      <c r="O69" s="582"/>
      <c r="P69" s="582"/>
      <c r="Q69" s="582"/>
      <c r="R69" s="582"/>
      <c r="S69" s="582"/>
      <c r="T69" s="582"/>
      <c r="U69" s="582"/>
      <c r="V69" s="582"/>
      <c r="W69" s="582"/>
      <c r="X69" s="582"/>
      <c r="Y69" s="582">
        <f>+I69+M69+Q69+U69</f>
        <v>212044450.84</v>
      </c>
      <c r="Z69" s="582">
        <f>+J69+N69+R69+V69</f>
        <v>202888056</v>
      </c>
      <c r="AA69" s="582">
        <f>+K69+O69+S69+W69</f>
        <v>137225140</v>
      </c>
      <c r="AB69" s="582">
        <f>+L69+P69+T69+X69</f>
        <v>136240310</v>
      </c>
      <c r="AC69" s="428"/>
    </row>
    <row r="70" spans="1:29" ht="16.5" thickTop="1" thickBot="1">
      <c r="A70" s="445">
        <v>2</v>
      </c>
      <c r="B70" s="429" t="s">
        <v>854</v>
      </c>
      <c r="C70" s="429" t="s">
        <v>856</v>
      </c>
      <c r="D70" s="429"/>
      <c r="E70" s="445"/>
      <c r="F70" s="445"/>
      <c r="G70" s="445"/>
      <c r="H70" s="446" t="s">
        <v>1343</v>
      </c>
      <c r="I70" s="592">
        <f>+I71</f>
        <v>791770856.48000002</v>
      </c>
      <c r="J70" s="592">
        <f t="shared" ref="J70:AB73" si="29">+J71</f>
        <v>774538631</v>
      </c>
      <c r="K70" s="592">
        <f t="shared" si="29"/>
        <v>735874108</v>
      </c>
      <c r="L70" s="592">
        <f t="shared" si="29"/>
        <v>735311348</v>
      </c>
      <c r="M70" s="592">
        <f t="shared" si="29"/>
        <v>0</v>
      </c>
      <c r="N70" s="592">
        <f t="shared" si="29"/>
        <v>0</v>
      </c>
      <c r="O70" s="592">
        <f t="shared" si="29"/>
        <v>0</v>
      </c>
      <c r="P70" s="592">
        <f t="shared" si="29"/>
        <v>0</v>
      </c>
      <c r="Q70" s="592">
        <f t="shared" si="29"/>
        <v>0</v>
      </c>
      <c r="R70" s="592">
        <f t="shared" si="29"/>
        <v>0</v>
      </c>
      <c r="S70" s="592">
        <f t="shared" si="29"/>
        <v>0</v>
      </c>
      <c r="T70" s="592">
        <f t="shared" si="29"/>
        <v>0</v>
      </c>
      <c r="U70" s="592">
        <f t="shared" si="29"/>
        <v>0</v>
      </c>
      <c r="V70" s="592">
        <f t="shared" si="29"/>
        <v>0</v>
      </c>
      <c r="W70" s="592">
        <f t="shared" si="29"/>
        <v>0</v>
      </c>
      <c r="X70" s="592">
        <f t="shared" si="29"/>
        <v>0</v>
      </c>
      <c r="Y70" s="592">
        <f t="shared" si="29"/>
        <v>791770856.48000002</v>
      </c>
      <c r="Z70" s="592">
        <f t="shared" si="29"/>
        <v>774538631</v>
      </c>
      <c r="AA70" s="592">
        <f t="shared" si="29"/>
        <v>735874108</v>
      </c>
      <c r="AB70" s="592">
        <f t="shared" si="29"/>
        <v>735311348</v>
      </c>
      <c r="AC70" s="428"/>
    </row>
    <row r="71" spans="1:29" ht="16.5" thickTop="1" thickBot="1">
      <c r="A71" s="443">
        <v>2</v>
      </c>
      <c r="B71" s="443" t="s">
        <v>854</v>
      </c>
      <c r="C71" s="443" t="s">
        <v>856</v>
      </c>
      <c r="D71" s="443" t="s">
        <v>839</v>
      </c>
      <c r="E71" s="443"/>
      <c r="F71" s="443"/>
      <c r="G71" s="443"/>
      <c r="H71" s="447" t="s">
        <v>1344</v>
      </c>
      <c r="I71" s="588">
        <f>+I72</f>
        <v>791770856.48000002</v>
      </c>
      <c r="J71" s="588">
        <f t="shared" si="29"/>
        <v>774538631</v>
      </c>
      <c r="K71" s="588">
        <f t="shared" si="29"/>
        <v>735874108</v>
      </c>
      <c r="L71" s="588">
        <f t="shared" si="29"/>
        <v>735311348</v>
      </c>
      <c r="M71" s="588">
        <f t="shared" si="29"/>
        <v>0</v>
      </c>
      <c r="N71" s="588">
        <f t="shared" si="29"/>
        <v>0</v>
      </c>
      <c r="O71" s="588">
        <f t="shared" si="29"/>
        <v>0</v>
      </c>
      <c r="P71" s="588">
        <f t="shared" si="29"/>
        <v>0</v>
      </c>
      <c r="Q71" s="588">
        <f t="shared" si="29"/>
        <v>0</v>
      </c>
      <c r="R71" s="588">
        <f t="shared" si="29"/>
        <v>0</v>
      </c>
      <c r="S71" s="588">
        <f t="shared" si="29"/>
        <v>0</v>
      </c>
      <c r="T71" s="588">
        <f t="shared" si="29"/>
        <v>0</v>
      </c>
      <c r="U71" s="588">
        <f t="shared" si="29"/>
        <v>0</v>
      </c>
      <c r="V71" s="588">
        <f t="shared" si="29"/>
        <v>0</v>
      </c>
      <c r="W71" s="588">
        <f t="shared" si="29"/>
        <v>0</v>
      </c>
      <c r="X71" s="588">
        <f t="shared" si="29"/>
        <v>0</v>
      </c>
      <c r="Y71" s="588">
        <f t="shared" si="29"/>
        <v>791770856.48000002</v>
      </c>
      <c r="Z71" s="588">
        <f t="shared" si="29"/>
        <v>774538631</v>
      </c>
      <c r="AA71" s="588">
        <f t="shared" si="29"/>
        <v>735874108</v>
      </c>
      <c r="AB71" s="588">
        <f t="shared" si="29"/>
        <v>735311348</v>
      </c>
      <c r="AC71" s="428"/>
    </row>
    <row r="72" spans="1:29" ht="16.5" thickTop="1" thickBot="1">
      <c r="A72" s="443">
        <v>3</v>
      </c>
      <c r="B72" s="443" t="s">
        <v>854</v>
      </c>
      <c r="C72" s="443" t="s">
        <v>856</v>
      </c>
      <c r="D72" s="443" t="s">
        <v>839</v>
      </c>
      <c r="E72" s="443" t="s">
        <v>839</v>
      </c>
      <c r="F72" s="443"/>
      <c r="G72" s="443"/>
      <c r="H72" s="447" t="s">
        <v>1342</v>
      </c>
      <c r="I72" s="588">
        <f>+I73</f>
        <v>791770856.48000002</v>
      </c>
      <c r="J72" s="588">
        <f t="shared" si="29"/>
        <v>774538631</v>
      </c>
      <c r="K72" s="588">
        <f t="shared" si="29"/>
        <v>735874108</v>
      </c>
      <c r="L72" s="588">
        <f t="shared" si="29"/>
        <v>735311348</v>
      </c>
      <c r="M72" s="588">
        <f t="shared" si="29"/>
        <v>0</v>
      </c>
      <c r="N72" s="588">
        <f t="shared" si="29"/>
        <v>0</v>
      </c>
      <c r="O72" s="588">
        <f t="shared" si="29"/>
        <v>0</v>
      </c>
      <c r="P72" s="588">
        <f t="shared" si="29"/>
        <v>0</v>
      </c>
      <c r="Q72" s="588">
        <f t="shared" si="29"/>
        <v>0</v>
      </c>
      <c r="R72" s="588">
        <f t="shared" si="29"/>
        <v>0</v>
      </c>
      <c r="S72" s="588">
        <f t="shared" si="29"/>
        <v>0</v>
      </c>
      <c r="T72" s="588">
        <f t="shared" si="29"/>
        <v>0</v>
      </c>
      <c r="U72" s="588">
        <f t="shared" si="29"/>
        <v>0</v>
      </c>
      <c r="V72" s="588">
        <f t="shared" si="29"/>
        <v>0</v>
      </c>
      <c r="W72" s="588">
        <f t="shared" si="29"/>
        <v>0</v>
      </c>
      <c r="X72" s="588">
        <f t="shared" si="29"/>
        <v>0</v>
      </c>
      <c r="Y72" s="588">
        <f t="shared" si="29"/>
        <v>791770856.48000002</v>
      </c>
      <c r="Z72" s="588">
        <f t="shared" si="29"/>
        <v>774538631</v>
      </c>
      <c r="AA72" s="588">
        <f t="shared" si="29"/>
        <v>735874108</v>
      </c>
      <c r="AB72" s="588">
        <f t="shared" si="29"/>
        <v>735311348</v>
      </c>
      <c r="AC72" s="428"/>
    </row>
    <row r="73" spans="1:29" ht="16.5" thickTop="1" thickBot="1">
      <c r="A73" s="432">
        <v>2</v>
      </c>
      <c r="B73" s="432" t="s">
        <v>854</v>
      </c>
      <c r="C73" s="432" t="s">
        <v>856</v>
      </c>
      <c r="D73" s="432" t="s">
        <v>839</v>
      </c>
      <c r="E73" s="433" t="s">
        <v>839</v>
      </c>
      <c r="F73" s="433" t="s">
        <v>839</v>
      </c>
      <c r="G73" s="432"/>
      <c r="H73" s="448" t="s">
        <v>1336</v>
      </c>
      <c r="I73" s="582">
        <f>+I74</f>
        <v>791770856.48000002</v>
      </c>
      <c r="J73" s="582">
        <f t="shared" si="29"/>
        <v>774538631</v>
      </c>
      <c r="K73" s="582">
        <f t="shared" si="29"/>
        <v>735874108</v>
      </c>
      <c r="L73" s="582">
        <f t="shared" si="29"/>
        <v>735311348</v>
      </c>
      <c r="M73" s="582">
        <f t="shared" si="29"/>
        <v>0</v>
      </c>
      <c r="N73" s="582">
        <f t="shared" si="29"/>
        <v>0</v>
      </c>
      <c r="O73" s="582">
        <f t="shared" si="29"/>
        <v>0</v>
      </c>
      <c r="P73" s="582">
        <f t="shared" si="29"/>
        <v>0</v>
      </c>
      <c r="Q73" s="582">
        <f t="shared" si="29"/>
        <v>0</v>
      </c>
      <c r="R73" s="582">
        <f t="shared" si="29"/>
        <v>0</v>
      </c>
      <c r="S73" s="582">
        <f t="shared" si="29"/>
        <v>0</v>
      </c>
      <c r="T73" s="582">
        <f t="shared" si="29"/>
        <v>0</v>
      </c>
      <c r="U73" s="582">
        <f t="shared" si="29"/>
        <v>0</v>
      </c>
      <c r="V73" s="582">
        <f t="shared" si="29"/>
        <v>0</v>
      </c>
      <c r="W73" s="582">
        <f t="shared" si="29"/>
        <v>0</v>
      </c>
      <c r="X73" s="582">
        <f t="shared" si="29"/>
        <v>0</v>
      </c>
      <c r="Y73" s="582">
        <f t="shared" si="29"/>
        <v>791770856.48000002</v>
      </c>
      <c r="Z73" s="582">
        <f t="shared" si="29"/>
        <v>774538631</v>
      </c>
      <c r="AA73" s="582">
        <f t="shared" si="29"/>
        <v>735874108</v>
      </c>
      <c r="AB73" s="582">
        <f t="shared" si="29"/>
        <v>735311348</v>
      </c>
      <c r="AC73" s="428"/>
    </row>
    <row r="74" spans="1:29" ht="16.5" thickTop="1" thickBot="1">
      <c r="A74" s="432">
        <v>2</v>
      </c>
      <c r="B74" s="432" t="s">
        <v>854</v>
      </c>
      <c r="C74" s="432" t="s">
        <v>856</v>
      </c>
      <c r="D74" s="432" t="s">
        <v>839</v>
      </c>
      <c r="E74" s="433" t="s">
        <v>839</v>
      </c>
      <c r="F74" s="433" t="s">
        <v>839</v>
      </c>
      <c r="G74" s="433" t="s">
        <v>839</v>
      </c>
      <c r="H74" s="448" t="s">
        <v>1337</v>
      </c>
      <c r="I74" s="582">
        <v>791770856.48000002</v>
      </c>
      <c r="J74" s="582">
        <v>774538631</v>
      </c>
      <c r="K74" s="582">
        <v>735874108</v>
      </c>
      <c r="L74" s="582">
        <v>735311348</v>
      </c>
      <c r="M74" s="582"/>
      <c r="N74" s="582"/>
      <c r="O74" s="582"/>
      <c r="P74" s="582"/>
      <c r="Q74" s="582"/>
      <c r="R74" s="582"/>
      <c r="S74" s="582"/>
      <c r="T74" s="582"/>
      <c r="U74" s="582"/>
      <c r="V74" s="582"/>
      <c r="W74" s="582"/>
      <c r="X74" s="582"/>
      <c r="Y74" s="582">
        <f>+I74+M74+Q74+U74</f>
        <v>791770856.48000002</v>
      </c>
      <c r="Z74" s="582">
        <f>+J74+N74+R74+V74</f>
        <v>774538631</v>
      </c>
      <c r="AA74" s="582">
        <f>+K74+O74+S74+W74</f>
        <v>735874108</v>
      </c>
      <c r="AB74" s="582">
        <f>+L74+P74+T74+X74</f>
        <v>735311348</v>
      </c>
      <c r="AC74" s="428"/>
    </row>
    <row r="75" spans="1:29" ht="16.5" thickTop="1" thickBot="1">
      <c r="A75" s="445">
        <v>2</v>
      </c>
      <c r="B75" s="429" t="s">
        <v>854</v>
      </c>
      <c r="C75" s="429" t="s">
        <v>907</v>
      </c>
      <c r="D75" s="429"/>
      <c r="E75" s="445"/>
      <c r="F75" s="445"/>
      <c r="G75" s="445"/>
      <c r="H75" s="446" t="s">
        <v>1345</v>
      </c>
      <c r="I75" s="592">
        <f>+I76</f>
        <v>378155856.48000002</v>
      </c>
      <c r="J75" s="592">
        <f t="shared" ref="J75:AB78" si="30">+J76</f>
        <v>367923631</v>
      </c>
      <c r="K75" s="592">
        <f t="shared" si="30"/>
        <v>324759108</v>
      </c>
      <c r="L75" s="592">
        <f t="shared" si="30"/>
        <v>324196348</v>
      </c>
      <c r="M75" s="592">
        <f t="shared" si="30"/>
        <v>0</v>
      </c>
      <c r="N75" s="592">
        <f t="shared" si="30"/>
        <v>0</v>
      </c>
      <c r="O75" s="592">
        <f t="shared" si="30"/>
        <v>0</v>
      </c>
      <c r="P75" s="592">
        <f t="shared" si="30"/>
        <v>0</v>
      </c>
      <c r="Q75" s="592">
        <f t="shared" si="30"/>
        <v>0</v>
      </c>
      <c r="R75" s="592">
        <f t="shared" si="30"/>
        <v>0</v>
      </c>
      <c r="S75" s="592">
        <f t="shared" si="30"/>
        <v>0</v>
      </c>
      <c r="T75" s="592">
        <f t="shared" si="30"/>
        <v>0</v>
      </c>
      <c r="U75" s="592">
        <f t="shared" si="30"/>
        <v>0</v>
      </c>
      <c r="V75" s="592">
        <f t="shared" si="30"/>
        <v>0</v>
      </c>
      <c r="W75" s="592">
        <f t="shared" si="30"/>
        <v>0</v>
      </c>
      <c r="X75" s="592">
        <f t="shared" si="30"/>
        <v>0</v>
      </c>
      <c r="Y75" s="592">
        <f t="shared" si="30"/>
        <v>378155856.48000002</v>
      </c>
      <c r="Z75" s="592">
        <f t="shared" si="30"/>
        <v>367923631</v>
      </c>
      <c r="AA75" s="592">
        <f t="shared" si="30"/>
        <v>324759108</v>
      </c>
      <c r="AB75" s="592">
        <f t="shared" si="30"/>
        <v>324196348</v>
      </c>
      <c r="AC75" s="428"/>
    </row>
    <row r="76" spans="1:29" ht="16.5" thickTop="1" thickBot="1">
      <c r="A76" s="443">
        <v>2</v>
      </c>
      <c r="B76" s="443" t="s">
        <v>854</v>
      </c>
      <c r="C76" s="443" t="s">
        <v>907</v>
      </c>
      <c r="D76" s="443" t="s">
        <v>839</v>
      </c>
      <c r="E76" s="443"/>
      <c r="F76" s="443"/>
      <c r="G76" s="443"/>
      <c r="H76" s="447" t="s">
        <v>1346</v>
      </c>
      <c r="I76" s="588">
        <f>+I77</f>
        <v>378155856.48000002</v>
      </c>
      <c r="J76" s="588">
        <f t="shared" si="30"/>
        <v>367923631</v>
      </c>
      <c r="K76" s="588">
        <f t="shared" si="30"/>
        <v>324759108</v>
      </c>
      <c r="L76" s="588">
        <f t="shared" si="30"/>
        <v>324196348</v>
      </c>
      <c r="M76" s="588">
        <f t="shared" si="30"/>
        <v>0</v>
      </c>
      <c r="N76" s="588">
        <f t="shared" si="30"/>
        <v>0</v>
      </c>
      <c r="O76" s="588">
        <f t="shared" si="30"/>
        <v>0</v>
      </c>
      <c r="P76" s="588">
        <f t="shared" si="30"/>
        <v>0</v>
      </c>
      <c r="Q76" s="588">
        <f t="shared" si="30"/>
        <v>0</v>
      </c>
      <c r="R76" s="588">
        <f t="shared" si="30"/>
        <v>0</v>
      </c>
      <c r="S76" s="588">
        <f t="shared" si="30"/>
        <v>0</v>
      </c>
      <c r="T76" s="588">
        <f t="shared" si="30"/>
        <v>0</v>
      </c>
      <c r="U76" s="588">
        <f t="shared" si="30"/>
        <v>0</v>
      </c>
      <c r="V76" s="588">
        <f t="shared" si="30"/>
        <v>0</v>
      </c>
      <c r="W76" s="588">
        <f t="shared" si="30"/>
        <v>0</v>
      </c>
      <c r="X76" s="588">
        <f t="shared" si="30"/>
        <v>0</v>
      </c>
      <c r="Y76" s="588">
        <f t="shared" si="30"/>
        <v>378155856.48000002</v>
      </c>
      <c r="Z76" s="588">
        <f t="shared" si="30"/>
        <v>367923631</v>
      </c>
      <c r="AA76" s="588">
        <f t="shared" si="30"/>
        <v>324759108</v>
      </c>
      <c r="AB76" s="588">
        <f t="shared" si="30"/>
        <v>324196348</v>
      </c>
      <c r="AC76" s="428"/>
    </row>
    <row r="77" spans="1:29" ht="16.5" thickTop="1" thickBot="1">
      <c r="A77" s="443">
        <v>3</v>
      </c>
      <c r="B77" s="443" t="s">
        <v>854</v>
      </c>
      <c r="C77" s="443" t="s">
        <v>907</v>
      </c>
      <c r="D77" s="443" t="s">
        <v>839</v>
      </c>
      <c r="E77" s="443" t="s">
        <v>839</v>
      </c>
      <c r="F77" s="443"/>
      <c r="G77" s="443"/>
      <c r="H77" s="447" t="s">
        <v>1342</v>
      </c>
      <c r="I77" s="588">
        <f>+I78</f>
        <v>378155856.48000002</v>
      </c>
      <c r="J77" s="588">
        <f t="shared" si="30"/>
        <v>367923631</v>
      </c>
      <c r="K77" s="588">
        <f t="shared" si="30"/>
        <v>324759108</v>
      </c>
      <c r="L77" s="588">
        <f t="shared" si="30"/>
        <v>324196348</v>
      </c>
      <c r="M77" s="588">
        <f t="shared" si="30"/>
        <v>0</v>
      </c>
      <c r="N77" s="588">
        <f t="shared" si="30"/>
        <v>0</v>
      </c>
      <c r="O77" s="588">
        <f t="shared" si="30"/>
        <v>0</v>
      </c>
      <c r="P77" s="588">
        <f t="shared" si="30"/>
        <v>0</v>
      </c>
      <c r="Q77" s="588">
        <f t="shared" si="30"/>
        <v>0</v>
      </c>
      <c r="R77" s="588">
        <f t="shared" si="30"/>
        <v>0</v>
      </c>
      <c r="S77" s="588">
        <f t="shared" si="30"/>
        <v>0</v>
      </c>
      <c r="T77" s="588">
        <f t="shared" si="30"/>
        <v>0</v>
      </c>
      <c r="U77" s="588">
        <f t="shared" si="30"/>
        <v>0</v>
      </c>
      <c r="V77" s="588">
        <f t="shared" si="30"/>
        <v>0</v>
      </c>
      <c r="W77" s="588">
        <f t="shared" si="30"/>
        <v>0</v>
      </c>
      <c r="X77" s="588">
        <f t="shared" si="30"/>
        <v>0</v>
      </c>
      <c r="Y77" s="588">
        <f t="shared" si="30"/>
        <v>378155856.48000002</v>
      </c>
      <c r="Z77" s="588">
        <f t="shared" si="30"/>
        <v>367923631</v>
      </c>
      <c r="AA77" s="588">
        <f t="shared" si="30"/>
        <v>324759108</v>
      </c>
      <c r="AB77" s="588">
        <f t="shared" si="30"/>
        <v>324196348</v>
      </c>
      <c r="AC77" s="428"/>
    </row>
    <row r="78" spans="1:29" ht="16.5" thickTop="1" thickBot="1">
      <c r="A78" s="432">
        <v>2</v>
      </c>
      <c r="B78" s="432" t="s">
        <v>854</v>
      </c>
      <c r="C78" s="432" t="s">
        <v>907</v>
      </c>
      <c r="D78" s="432" t="s">
        <v>839</v>
      </c>
      <c r="E78" s="433" t="s">
        <v>839</v>
      </c>
      <c r="F78" s="433" t="s">
        <v>839</v>
      </c>
      <c r="G78" s="432"/>
      <c r="H78" s="448" t="s">
        <v>1336</v>
      </c>
      <c r="I78" s="582">
        <f>+I79</f>
        <v>378155856.48000002</v>
      </c>
      <c r="J78" s="582">
        <f t="shared" si="30"/>
        <v>367923631</v>
      </c>
      <c r="K78" s="582">
        <f t="shared" si="30"/>
        <v>324759108</v>
      </c>
      <c r="L78" s="582">
        <f t="shared" si="30"/>
        <v>324196348</v>
      </c>
      <c r="M78" s="582">
        <f t="shared" si="30"/>
        <v>0</v>
      </c>
      <c r="N78" s="582">
        <f t="shared" si="30"/>
        <v>0</v>
      </c>
      <c r="O78" s="582">
        <f t="shared" si="30"/>
        <v>0</v>
      </c>
      <c r="P78" s="582">
        <f t="shared" si="30"/>
        <v>0</v>
      </c>
      <c r="Q78" s="582">
        <f t="shared" si="30"/>
        <v>0</v>
      </c>
      <c r="R78" s="582">
        <f t="shared" si="30"/>
        <v>0</v>
      </c>
      <c r="S78" s="582">
        <f t="shared" si="30"/>
        <v>0</v>
      </c>
      <c r="T78" s="582">
        <f t="shared" si="30"/>
        <v>0</v>
      </c>
      <c r="U78" s="582">
        <f t="shared" si="30"/>
        <v>0</v>
      </c>
      <c r="V78" s="582">
        <f t="shared" si="30"/>
        <v>0</v>
      </c>
      <c r="W78" s="582">
        <f t="shared" si="30"/>
        <v>0</v>
      </c>
      <c r="X78" s="582">
        <f t="shared" si="30"/>
        <v>0</v>
      </c>
      <c r="Y78" s="582">
        <f t="shared" si="30"/>
        <v>378155856.48000002</v>
      </c>
      <c r="Z78" s="582">
        <f t="shared" si="30"/>
        <v>367923631</v>
      </c>
      <c r="AA78" s="582">
        <f t="shared" si="30"/>
        <v>324759108</v>
      </c>
      <c r="AB78" s="582">
        <f t="shared" si="30"/>
        <v>324196348</v>
      </c>
      <c r="AC78" s="428"/>
    </row>
    <row r="79" spans="1:29" ht="16.5" thickTop="1" thickBot="1">
      <c r="A79" s="432">
        <v>2</v>
      </c>
      <c r="B79" s="432" t="s">
        <v>854</v>
      </c>
      <c r="C79" s="432" t="s">
        <v>907</v>
      </c>
      <c r="D79" s="432" t="s">
        <v>839</v>
      </c>
      <c r="E79" s="433" t="s">
        <v>839</v>
      </c>
      <c r="F79" s="433" t="s">
        <v>839</v>
      </c>
      <c r="G79" s="433" t="s">
        <v>839</v>
      </c>
      <c r="H79" s="448" t="s">
        <v>1337</v>
      </c>
      <c r="I79" s="582">
        <v>378155856.48000002</v>
      </c>
      <c r="J79" s="582">
        <v>367923631</v>
      </c>
      <c r="K79" s="582">
        <v>324759108</v>
      </c>
      <c r="L79" s="582">
        <v>324196348</v>
      </c>
      <c r="M79" s="582"/>
      <c r="N79" s="582"/>
      <c r="O79" s="582"/>
      <c r="P79" s="582"/>
      <c r="Q79" s="582"/>
      <c r="R79" s="582"/>
      <c r="S79" s="582"/>
      <c r="T79" s="582"/>
      <c r="U79" s="582"/>
      <c r="V79" s="582"/>
      <c r="W79" s="582"/>
      <c r="X79" s="582"/>
      <c r="Y79" s="582">
        <f>+I79+M79+Q79+U79</f>
        <v>378155856.48000002</v>
      </c>
      <c r="Z79" s="582">
        <f>+J79+N79+R79+V79</f>
        <v>367923631</v>
      </c>
      <c r="AA79" s="582">
        <f>+K79+O79+S79+W79</f>
        <v>324759108</v>
      </c>
      <c r="AB79" s="582">
        <f>+L79+P79+T79+X79</f>
        <v>324196348</v>
      </c>
      <c r="AC79" s="428"/>
    </row>
    <row r="80" spans="1:29" ht="16.5" thickTop="1" thickBot="1">
      <c r="A80" s="445">
        <v>2</v>
      </c>
      <c r="B80" s="429" t="s">
        <v>854</v>
      </c>
      <c r="C80" s="429" t="s">
        <v>930</v>
      </c>
      <c r="D80" s="429"/>
      <c r="E80" s="445"/>
      <c r="F80" s="445"/>
      <c r="G80" s="445"/>
      <c r="H80" s="446" t="s">
        <v>1347</v>
      </c>
      <c r="I80" s="592">
        <f>+I81</f>
        <v>669563501.20000005</v>
      </c>
      <c r="J80" s="592">
        <f t="shared" ref="J80:AB83" si="31">+J81</f>
        <v>632082938</v>
      </c>
      <c r="K80" s="592">
        <f t="shared" si="31"/>
        <v>531921628</v>
      </c>
      <c r="L80" s="592">
        <f t="shared" si="31"/>
        <v>530514728</v>
      </c>
      <c r="M80" s="592">
        <f t="shared" si="31"/>
        <v>0</v>
      </c>
      <c r="N80" s="592">
        <f t="shared" si="31"/>
        <v>0</v>
      </c>
      <c r="O80" s="592">
        <f t="shared" si="31"/>
        <v>0</v>
      </c>
      <c r="P80" s="592">
        <f t="shared" si="31"/>
        <v>0</v>
      </c>
      <c r="Q80" s="592">
        <f t="shared" si="31"/>
        <v>0</v>
      </c>
      <c r="R80" s="592">
        <f t="shared" si="31"/>
        <v>0</v>
      </c>
      <c r="S80" s="592">
        <f t="shared" si="31"/>
        <v>0</v>
      </c>
      <c r="T80" s="592">
        <f t="shared" si="31"/>
        <v>0</v>
      </c>
      <c r="U80" s="592">
        <f t="shared" si="31"/>
        <v>0</v>
      </c>
      <c r="V80" s="592">
        <f t="shared" si="31"/>
        <v>0</v>
      </c>
      <c r="W80" s="592">
        <f t="shared" si="31"/>
        <v>0</v>
      </c>
      <c r="X80" s="592">
        <f t="shared" si="31"/>
        <v>0</v>
      </c>
      <c r="Y80" s="592">
        <f t="shared" si="31"/>
        <v>669563501.20000005</v>
      </c>
      <c r="Z80" s="592">
        <f t="shared" si="31"/>
        <v>632082938</v>
      </c>
      <c r="AA80" s="592">
        <f t="shared" si="31"/>
        <v>531921628</v>
      </c>
      <c r="AB80" s="592">
        <f t="shared" si="31"/>
        <v>530514728</v>
      </c>
      <c r="AC80" s="428"/>
    </row>
    <row r="81" spans="1:29" ht="16.5" thickTop="1" thickBot="1">
      <c r="A81" s="443">
        <v>2</v>
      </c>
      <c r="B81" s="443" t="s">
        <v>854</v>
      </c>
      <c r="C81" s="443" t="s">
        <v>930</v>
      </c>
      <c r="D81" s="443" t="s">
        <v>839</v>
      </c>
      <c r="E81" s="443"/>
      <c r="F81" s="443"/>
      <c r="G81" s="443"/>
      <c r="H81" s="447" t="s">
        <v>1348</v>
      </c>
      <c r="I81" s="588">
        <f>+I82</f>
        <v>669563501.20000005</v>
      </c>
      <c r="J81" s="588">
        <f t="shared" si="31"/>
        <v>632082938</v>
      </c>
      <c r="K81" s="588">
        <f t="shared" si="31"/>
        <v>531921628</v>
      </c>
      <c r="L81" s="588">
        <f t="shared" si="31"/>
        <v>530514728</v>
      </c>
      <c r="M81" s="588">
        <f t="shared" si="31"/>
        <v>0</v>
      </c>
      <c r="N81" s="588">
        <f t="shared" si="31"/>
        <v>0</v>
      </c>
      <c r="O81" s="588">
        <f t="shared" si="31"/>
        <v>0</v>
      </c>
      <c r="P81" s="588">
        <f t="shared" si="31"/>
        <v>0</v>
      </c>
      <c r="Q81" s="588">
        <f t="shared" si="31"/>
        <v>0</v>
      </c>
      <c r="R81" s="588">
        <f t="shared" si="31"/>
        <v>0</v>
      </c>
      <c r="S81" s="588">
        <f t="shared" si="31"/>
        <v>0</v>
      </c>
      <c r="T81" s="588">
        <f t="shared" si="31"/>
        <v>0</v>
      </c>
      <c r="U81" s="588">
        <f t="shared" si="31"/>
        <v>0</v>
      </c>
      <c r="V81" s="588">
        <f t="shared" si="31"/>
        <v>0</v>
      </c>
      <c r="W81" s="588">
        <f t="shared" si="31"/>
        <v>0</v>
      </c>
      <c r="X81" s="588">
        <f t="shared" si="31"/>
        <v>0</v>
      </c>
      <c r="Y81" s="588">
        <f t="shared" si="31"/>
        <v>669563501.20000005</v>
      </c>
      <c r="Z81" s="588">
        <f t="shared" si="31"/>
        <v>632082938</v>
      </c>
      <c r="AA81" s="588">
        <f t="shared" si="31"/>
        <v>531921628</v>
      </c>
      <c r="AB81" s="588">
        <f t="shared" si="31"/>
        <v>530514728</v>
      </c>
      <c r="AC81" s="428"/>
    </row>
    <row r="82" spans="1:29" ht="16.5" thickTop="1" thickBot="1">
      <c r="A82" s="443">
        <v>3</v>
      </c>
      <c r="B82" s="443" t="s">
        <v>854</v>
      </c>
      <c r="C82" s="443" t="s">
        <v>930</v>
      </c>
      <c r="D82" s="443" t="s">
        <v>839</v>
      </c>
      <c r="E82" s="443" t="s">
        <v>839</v>
      </c>
      <c r="F82" s="443"/>
      <c r="G82" s="443"/>
      <c r="H82" s="447" t="s">
        <v>1342</v>
      </c>
      <c r="I82" s="588">
        <f>+I83</f>
        <v>669563501.20000005</v>
      </c>
      <c r="J82" s="588">
        <f t="shared" si="31"/>
        <v>632082938</v>
      </c>
      <c r="K82" s="588">
        <f t="shared" si="31"/>
        <v>531921628</v>
      </c>
      <c r="L82" s="588">
        <f t="shared" si="31"/>
        <v>530514728</v>
      </c>
      <c r="M82" s="588">
        <f t="shared" si="31"/>
        <v>0</v>
      </c>
      <c r="N82" s="588">
        <f t="shared" si="31"/>
        <v>0</v>
      </c>
      <c r="O82" s="588">
        <f t="shared" si="31"/>
        <v>0</v>
      </c>
      <c r="P82" s="588">
        <f t="shared" si="31"/>
        <v>0</v>
      </c>
      <c r="Q82" s="588">
        <f t="shared" si="31"/>
        <v>0</v>
      </c>
      <c r="R82" s="588">
        <f t="shared" si="31"/>
        <v>0</v>
      </c>
      <c r="S82" s="588">
        <f t="shared" si="31"/>
        <v>0</v>
      </c>
      <c r="T82" s="588">
        <f t="shared" si="31"/>
        <v>0</v>
      </c>
      <c r="U82" s="588">
        <f t="shared" si="31"/>
        <v>0</v>
      </c>
      <c r="V82" s="588">
        <f t="shared" si="31"/>
        <v>0</v>
      </c>
      <c r="W82" s="588">
        <f t="shared" si="31"/>
        <v>0</v>
      </c>
      <c r="X82" s="588">
        <f t="shared" si="31"/>
        <v>0</v>
      </c>
      <c r="Y82" s="588">
        <f t="shared" si="31"/>
        <v>669563501.20000005</v>
      </c>
      <c r="Z82" s="588">
        <f t="shared" si="31"/>
        <v>632082938</v>
      </c>
      <c r="AA82" s="588">
        <f t="shared" si="31"/>
        <v>531921628</v>
      </c>
      <c r="AB82" s="588">
        <f t="shared" si="31"/>
        <v>530514728</v>
      </c>
      <c r="AC82" s="428"/>
    </row>
    <row r="83" spans="1:29" ht="16.5" thickTop="1" thickBot="1">
      <c r="A83" s="432">
        <v>2</v>
      </c>
      <c r="B83" s="432" t="s">
        <v>854</v>
      </c>
      <c r="C83" s="432" t="s">
        <v>930</v>
      </c>
      <c r="D83" s="432" t="s">
        <v>839</v>
      </c>
      <c r="E83" s="433" t="s">
        <v>839</v>
      </c>
      <c r="F83" s="433" t="s">
        <v>839</v>
      </c>
      <c r="G83" s="432"/>
      <c r="H83" s="448" t="s">
        <v>1336</v>
      </c>
      <c r="I83" s="582">
        <f>+I84</f>
        <v>669563501.20000005</v>
      </c>
      <c r="J83" s="582">
        <f t="shared" si="31"/>
        <v>632082938</v>
      </c>
      <c r="K83" s="582">
        <f t="shared" si="31"/>
        <v>531921628</v>
      </c>
      <c r="L83" s="582">
        <f t="shared" si="31"/>
        <v>530514728</v>
      </c>
      <c r="M83" s="582">
        <f t="shared" si="31"/>
        <v>0</v>
      </c>
      <c r="N83" s="582">
        <f t="shared" si="31"/>
        <v>0</v>
      </c>
      <c r="O83" s="582">
        <f t="shared" si="31"/>
        <v>0</v>
      </c>
      <c r="P83" s="582">
        <f t="shared" si="31"/>
        <v>0</v>
      </c>
      <c r="Q83" s="582">
        <f t="shared" si="31"/>
        <v>0</v>
      </c>
      <c r="R83" s="582">
        <f t="shared" si="31"/>
        <v>0</v>
      </c>
      <c r="S83" s="582">
        <f t="shared" si="31"/>
        <v>0</v>
      </c>
      <c r="T83" s="582">
        <f t="shared" si="31"/>
        <v>0</v>
      </c>
      <c r="U83" s="582">
        <f t="shared" si="31"/>
        <v>0</v>
      </c>
      <c r="V83" s="582">
        <f t="shared" si="31"/>
        <v>0</v>
      </c>
      <c r="W83" s="582">
        <f t="shared" si="31"/>
        <v>0</v>
      </c>
      <c r="X83" s="582">
        <f t="shared" si="31"/>
        <v>0</v>
      </c>
      <c r="Y83" s="582">
        <f t="shared" si="31"/>
        <v>669563501.20000005</v>
      </c>
      <c r="Z83" s="582">
        <f t="shared" si="31"/>
        <v>632082938</v>
      </c>
      <c r="AA83" s="582">
        <f t="shared" si="31"/>
        <v>531921628</v>
      </c>
      <c r="AB83" s="582">
        <f t="shared" si="31"/>
        <v>530514728</v>
      </c>
      <c r="AC83" s="428"/>
    </row>
    <row r="84" spans="1:29" ht="16.5" thickTop="1" thickBot="1">
      <c r="A84" s="432">
        <v>2</v>
      </c>
      <c r="B84" s="432" t="s">
        <v>854</v>
      </c>
      <c r="C84" s="432" t="s">
        <v>930</v>
      </c>
      <c r="D84" s="432" t="s">
        <v>839</v>
      </c>
      <c r="E84" s="433" t="s">
        <v>839</v>
      </c>
      <c r="F84" s="433" t="s">
        <v>839</v>
      </c>
      <c r="G84" s="433" t="s">
        <v>839</v>
      </c>
      <c r="H84" s="448" t="s">
        <v>1337</v>
      </c>
      <c r="I84" s="582">
        <v>669563501.20000005</v>
      </c>
      <c r="J84" s="582">
        <v>632082938</v>
      </c>
      <c r="K84" s="582">
        <v>531921628</v>
      </c>
      <c r="L84" s="582">
        <v>530514728</v>
      </c>
      <c r="M84" s="582"/>
      <c r="N84" s="582"/>
      <c r="O84" s="582"/>
      <c r="P84" s="582"/>
      <c r="Q84" s="582"/>
      <c r="R84" s="582"/>
      <c r="S84" s="582"/>
      <c r="T84" s="582"/>
      <c r="U84" s="582"/>
      <c r="V84" s="582"/>
      <c r="W84" s="582"/>
      <c r="X84" s="582"/>
      <c r="Y84" s="582">
        <f>+I84+M84+Q84+U84</f>
        <v>669563501.20000005</v>
      </c>
      <c r="Z84" s="582">
        <f>+J84+N84+R84+V84</f>
        <v>632082938</v>
      </c>
      <c r="AA84" s="582">
        <f>+K84+O84+S84+W84</f>
        <v>531921628</v>
      </c>
      <c r="AB84" s="582">
        <f>+L84+P84+T84+X84</f>
        <v>530514728</v>
      </c>
      <c r="AC84" s="428"/>
    </row>
    <row r="85" spans="1:29" ht="16.5" thickTop="1" thickBot="1">
      <c r="A85" s="445">
        <v>2</v>
      </c>
      <c r="B85" s="429" t="s">
        <v>854</v>
      </c>
      <c r="C85" s="429" t="s">
        <v>934</v>
      </c>
      <c r="D85" s="429"/>
      <c r="E85" s="445"/>
      <c r="F85" s="445"/>
      <c r="G85" s="445"/>
      <c r="H85" s="446" t="s">
        <v>1349</v>
      </c>
      <c r="I85" s="592">
        <f>+I86</f>
        <v>496675400.47000003</v>
      </c>
      <c r="J85" s="592">
        <f t="shared" ref="J85:AB88" si="32">+J86</f>
        <v>465260025</v>
      </c>
      <c r="K85" s="592">
        <f t="shared" si="32"/>
        <v>426595502</v>
      </c>
      <c r="L85" s="592">
        <f t="shared" si="32"/>
        <v>426032742</v>
      </c>
      <c r="M85" s="592">
        <f t="shared" si="32"/>
        <v>0</v>
      </c>
      <c r="N85" s="592">
        <f t="shared" si="32"/>
        <v>0</v>
      </c>
      <c r="O85" s="592">
        <f t="shared" si="32"/>
        <v>0</v>
      </c>
      <c r="P85" s="592">
        <f t="shared" si="32"/>
        <v>0</v>
      </c>
      <c r="Q85" s="592">
        <f t="shared" si="32"/>
        <v>0</v>
      </c>
      <c r="R85" s="592">
        <f t="shared" si="32"/>
        <v>0</v>
      </c>
      <c r="S85" s="592">
        <f t="shared" si="32"/>
        <v>0</v>
      </c>
      <c r="T85" s="592">
        <f t="shared" si="32"/>
        <v>0</v>
      </c>
      <c r="U85" s="592">
        <f t="shared" si="32"/>
        <v>0</v>
      </c>
      <c r="V85" s="592">
        <f t="shared" si="32"/>
        <v>0</v>
      </c>
      <c r="W85" s="592">
        <f t="shared" si="32"/>
        <v>0</v>
      </c>
      <c r="X85" s="592">
        <f t="shared" si="32"/>
        <v>0</v>
      </c>
      <c r="Y85" s="592">
        <f t="shared" si="32"/>
        <v>496675400.47000003</v>
      </c>
      <c r="Z85" s="592">
        <f t="shared" si="32"/>
        <v>465260025</v>
      </c>
      <c r="AA85" s="592">
        <f t="shared" si="32"/>
        <v>426595502</v>
      </c>
      <c r="AB85" s="592">
        <f t="shared" si="32"/>
        <v>426032742</v>
      </c>
      <c r="AC85" s="428"/>
    </row>
    <row r="86" spans="1:29" ht="16.5" thickTop="1" thickBot="1">
      <c r="A86" s="443">
        <v>2</v>
      </c>
      <c r="B86" s="443" t="s">
        <v>854</v>
      </c>
      <c r="C86" s="443" t="s">
        <v>934</v>
      </c>
      <c r="D86" s="443" t="s">
        <v>839</v>
      </c>
      <c r="E86" s="443"/>
      <c r="F86" s="443"/>
      <c r="G86" s="443"/>
      <c r="H86" s="447" t="s">
        <v>1350</v>
      </c>
      <c r="I86" s="588">
        <f>+I87</f>
        <v>496675400.47000003</v>
      </c>
      <c r="J86" s="588">
        <f t="shared" si="32"/>
        <v>465260025</v>
      </c>
      <c r="K86" s="588">
        <f t="shared" si="32"/>
        <v>426595502</v>
      </c>
      <c r="L86" s="588">
        <f t="shared" si="32"/>
        <v>426032742</v>
      </c>
      <c r="M86" s="588">
        <f t="shared" si="32"/>
        <v>0</v>
      </c>
      <c r="N86" s="588">
        <f t="shared" si="32"/>
        <v>0</v>
      </c>
      <c r="O86" s="588">
        <f t="shared" si="32"/>
        <v>0</v>
      </c>
      <c r="P86" s="588">
        <f t="shared" si="32"/>
        <v>0</v>
      </c>
      <c r="Q86" s="588">
        <f t="shared" si="32"/>
        <v>0</v>
      </c>
      <c r="R86" s="588">
        <f t="shared" si="32"/>
        <v>0</v>
      </c>
      <c r="S86" s="588">
        <f t="shared" si="32"/>
        <v>0</v>
      </c>
      <c r="T86" s="588">
        <f t="shared" si="32"/>
        <v>0</v>
      </c>
      <c r="U86" s="588">
        <f t="shared" si="32"/>
        <v>0</v>
      </c>
      <c r="V86" s="588">
        <f t="shared" si="32"/>
        <v>0</v>
      </c>
      <c r="W86" s="588">
        <f t="shared" si="32"/>
        <v>0</v>
      </c>
      <c r="X86" s="588">
        <f t="shared" si="32"/>
        <v>0</v>
      </c>
      <c r="Y86" s="588">
        <f t="shared" si="32"/>
        <v>496675400.47000003</v>
      </c>
      <c r="Z86" s="588">
        <f t="shared" si="32"/>
        <v>465260025</v>
      </c>
      <c r="AA86" s="588">
        <f t="shared" si="32"/>
        <v>426595502</v>
      </c>
      <c r="AB86" s="588">
        <f t="shared" si="32"/>
        <v>426032742</v>
      </c>
      <c r="AC86" s="428"/>
    </row>
    <row r="87" spans="1:29" ht="16.5" thickTop="1" thickBot="1">
      <c r="A87" s="443">
        <v>3</v>
      </c>
      <c r="B87" s="443" t="s">
        <v>854</v>
      </c>
      <c r="C87" s="443" t="s">
        <v>934</v>
      </c>
      <c r="D87" s="443" t="s">
        <v>839</v>
      </c>
      <c r="E87" s="443" t="s">
        <v>839</v>
      </c>
      <c r="F87" s="443"/>
      <c r="G87" s="443"/>
      <c r="H87" s="447" t="s">
        <v>1342</v>
      </c>
      <c r="I87" s="588">
        <f>+I88</f>
        <v>496675400.47000003</v>
      </c>
      <c r="J87" s="588">
        <f t="shared" si="32"/>
        <v>465260025</v>
      </c>
      <c r="K87" s="588">
        <f t="shared" si="32"/>
        <v>426595502</v>
      </c>
      <c r="L87" s="588">
        <f t="shared" si="32"/>
        <v>426032742</v>
      </c>
      <c r="M87" s="588">
        <f t="shared" si="32"/>
        <v>0</v>
      </c>
      <c r="N87" s="588">
        <f t="shared" si="32"/>
        <v>0</v>
      </c>
      <c r="O87" s="588">
        <f t="shared" si="32"/>
        <v>0</v>
      </c>
      <c r="P87" s="588">
        <f t="shared" si="32"/>
        <v>0</v>
      </c>
      <c r="Q87" s="588">
        <f t="shared" si="32"/>
        <v>0</v>
      </c>
      <c r="R87" s="588">
        <f t="shared" si="32"/>
        <v>0</v>
      </c>
      <c r="S87" s="588">
        <f t="shared" si="32"/>
        <v>0</v>
      </c>
      <c r="T87" s="588">
        <f t="shared" si="32"/>
        <v>0</v>
      </c>
      <c r="U87" s="588">
        <f t="shared" si="32"/>
        <v>0</v>
      </c>
      <c r="V87" s="588">
        <f t="shared" si="32"/>
        <v>0</v>
      </c>
      <c r="W87" s="588">
        <f t="shared" si="32"/>
        <v>0</v>
      </c>
      <c r="X87" s="588">
        <f t="shared" si="32"/>
        <v>0</v>
      </c>
      <c r="Y87" s="588">
        <f t="shared" si="32"/>
        <v>496675400.47000003</v>
      </c>
      <c r="Z87" s="588">
        <f t="shared" si="32"/>
        <v>465260025</v>
      </c>
      <c r="AA87" s="588">
        <f t="shared" si="32"/>
        <v>426595502</v>
      </c>
      <c r="AB87" s="588">
        <f t="shared" si="32"/>
        <v>426032742</v>
      </c>
      <c r="AC87" s="428"/>
    </row>
    <row r="88" spans="1:29" ht="16.5" thickTop="1" thickBot="1">
      <c r="A88" s="432">
        <v>2</v>
      </c>
      <c r="B88" s="432" t="s">
        <v>854</v>
      </c>
      <c r="C88" s="432" t="s">
        <v>934</v>
      </c>
      <c r="D88" s="432" t="s">
        <v>839</v>
      </c>
      <c r="E88" s="433" t="s">
        <v>839</v>
      </c>
      <c r="F88" s="433" t="s">
        <v>839</v>
      </c>
      <c r="G88" s="432"/>
      <c r="H88" s="448" t="s">
        <v>1336</v>
      </c>
      <c r="I88" s="582">
        <f>+I89</f>
        <v>496675400.47000003</v>
      </c>
      <c r="J88" s="582">
        <f t="shared" si="32"/>
        <v>465260025</v>
      </c>
      <c r="K88" s="582">
        <f t="shared" si="32"/>
        <v>426595502</v>
      </c>
      <c r="L88" s="582">
        <f t="shared" si="32"/>
        <v>426032742</v>
      </c>
      <c r="M88" s="582">
        <f t="shared" si="32"/>
        <v>0</v>
      </c>
      <c r="N88" s="582">
        <f t="shared" si="32"/>
        <v>0</v>
      </c>
      <c r="O88" s="582">
        <f t="shared" si="32"/>
        <v>0</v>
      </c>
      <c r="P88" s="582">
        <f t="shared" si="32"/>
        <v>0</v>
      </c>
      <c r="Q88" s="582">
        <f t="shared" si="32"/>
        <v>0</v>
      </c>
      <c r="R88" s="582">
        <f t="shared" si="32"/>
        <v>0</v>
      </c>
      <c r="S88" s="582">
        <f t="shared" si="32"/>
        <v>0</v>
      </c>
      <c r="T88" s="582">
        <f t="shared" si="32"/>
        <v>0</v>
      </c>
      <c r="U88" s="582">
        <f t="shared" si="32"/>
        <v>0</v>
      </c>
      <c r="V88" s="582">
        <f t="shared" si="32"/>
        <v>0</v>
      </c>
      <c r="W88" s="582">
        <f t="shared" si="32"/>
        <v>0</v>
      </c>
      <c r="X88" s="582">
        <f t="shared" si="32"/>
        <v>0</v>
      </c>
      <c r="Y88" s="582">
        <f t="shared" si="32"/>
        <v>496675400.47000003</v>
      </c>
      <c r="Z88" s="582">
        <f t="shared" si="32"/>
        <v>465260025</v>
      </c>
      <c r="AA88" s="582">
        <f t="shared" si="32"/>
        <v>426595502</v>
      </c>
      <c r="AB88" s="582">
        <f t="shared" si="32"/>
        <v>426032742</v>
      </c>
      <c r="AC88" s="428"/>
    </row>
    <row r="89" spans="1:29" ht="16.5" thickTop="1" thickBot="1">
      <c r="A89" s="432">
        <v>2</v>
      </c>
      <c r="B89" s="432" t="s">
        <v>854</v>
      </c>
      <c r="C89" s="432" t="s">
        <v>934</v>
      </c>
      <c r="D89" s="432" t="s">
        <v>839</v>
      </c>
      <c r="E89" s="433" t="s">
        <v>839</v>
      </c>
      <c r="F89" s="433" t="s">
        <v>839</v>
      </c>
      <c r="G89" s="433" t="s">
        <v>839</v>
      </c>
      <c r="H89" s="448" t="s">
        <v>1337</v>
      </c>
      <c r="I89" s="582">
        <v>496675400.47000003</v>
      </c>
      <c r="J89" s="582">
        <v>465260025</v>
      </c>
      <c r="K89" s="582">
        <v>426595502</v>
      </c>
      <c r="L89" s="582">
        <v>426032742</v>
      </c>
      <c r="M89" s="582"/>
      <c r="N89" s="582"/>
      <c r="O89" s="582"/>
      <c r="P89" s="582"/>
      <c r="Q89" s="582"/>
      <c r="R89" s="582"/>
      <c r="S89" s="582"/>
      <c r="T89" s="582"/>
      <c r="U89" s="582"/>
      <c r="V89" s="582"/>
      <c r="W89" s="582"/>
      <c r="X89" s="582"/>
      <c r="Y89" s="582">
        <f>+I89+M89+Q89+U89</f>
        <v>496675400.47000003</v>
      </c>
      <c r="Z89" s="582">
        <f>+J89+N89+R89+V89</f>
        <v>465260025</v>
      </c>
      <c r="AA89" s="582">
        <f>+K89+O89+S89+W89</f>
        <v>426595502</v>
      </c>
      <c r="AB89" s="582">
        <f>+L89+P89+T89+X89</f>
        <v>426032742</v>
      </c>
      <c r="AC89" s="428"/>
    </row>
    <row r="90" spans="1:29" ht="16.5" thickTop="1" thickBot="1">
      <c r="A90" s="445">
        <v>2</v>
      </c>
      <c r="B90" s="429" t="s">
        <v>854</v>
      </c>
      <c r="C90" s="429" t="s">
        <v>938</v>
      </c>
      <c r="D90" s="429"/>
      <c r="E90" s="445"/>
      <c r="F90" s="445"/>
      <c r="G90" s="445"/>
      <c r="H90" s="446" t="s">
        <v>1351</v>
      </c>
      <c r="I90" s="592">
        <f>+I91</f>
        <v>51919050.359999999</v>
      </c>
      <c r="J90" s="592">
        <f t="shared" ref="J90:AB93" si="33">+J91</f>
        <v>47994825</v>
      </c>
      <c r="K90" s="592">
        <f t="shared" si="33"/>
        <v>18996071</v>
      </c>
      <c r="L90" s="592">
        <f t="shared" si="33"/>
        <v>18573830</v>
      </c>
      <c r="M90" s="592">
        <f t="shared" si="33"/>
        <v>0</v>
      </c>
      <c r="N90" s="592">
        <f t="shared" si="33"/>
        <v>0</v>
      </c>
      <c r="O90" s="592">
        <f t="shared" si="33"/>
        <v>0</v>
      </c>
      <c r="P90" s="592">
        <f t="shared" si="33"/>
        <v>0</v>
      </c>
      <c r="Q90" s="592">
        <f t="shared" si="33"/>
        <v>0</v>
      </c>
      <c r="R90" s="592">
        <f t="shared" si="33"/>
        <v>0</v>
      </c>
      <c r="S90" s="592">
        <f t="shared" si="33"/>
        <v>0</v>
      </c>
      <c r="T90" s="592">
        <f t="shared" si="33"/>
        <v>0</v>
      </c>
      <c r="U90" s="592">
        <f t="shared" si="33"/>
        <v>0</v>
      </c>
      <c r="V90" s="592">
        <f t="shared" si="33"/>
        <v>0</v>
      </c>
      <c r="W90" s="592">
        <f t="shared" si="33"/>
        <v>0</v>
      </c>
      <c r="X90" s="592">
        <f t="shared" si="33"/>
        <v>0</v>
      </c>
      <c r="Y90" s="592">
        <f t="shared" si="33"/>
        <v>51919050.359999999</v>
      </c>
      <c r="Z90" s="592">
        <f t="shared" si="33"/>
        <v>47994825</v>
      </c>
      <c r="AA90" s="592">
        <f t="shared" si="33"/>
        <v>18996071</v>
      </c>
      <c r="AB90" s="592">
        <f t="shared" si="33"/>
        <v>18573830</v>
      </c>
      <c r="AC90" s="428"/>
    </row>
    <row r="91" spans="1:29" ht="16.5" thickTop="1" thickBot="1">
      <c r="A91" s="443">
        <v>2</v>
      </c>
      <c r="B91" s="443" t="s">
        <v>854</v>
      </c>
      <c r="C91" s="443" t="s">
        <v>938</v>
      </c>
      <c r="D91" s="443" t="s">
        <v>839</v>
      </c>
      <c r="E91" s="443"/>
      <c r="F91" s="443"/>
      <c r="G91" s="443"/>
      <c r="H91" s="447" t="s">
        <v>1352</v>
      </c>
      <c r="I91" s="588">
        <f>+I92</f>
        <v>51919050.359999999</v>
      </c>
      <c r="J91" s="588">
        <f t="shared" si="33"/>
        <v>47994825</v>
      </c>
      <c r="K91" s="588">
        <f t="shared" si="33"/>
        <v>18996071</v>
      </c>
      <c r="L91" s="588">
        <f t="shared" si="33"/>
        <v>18573830</v>
      </c>
      <c r="M91" s="588">
        <f t="shared" si="33"/>
        <v>0</v>
      </c>
      <c r="N91" s="588">
        <f t="shared" si="33"/>
        <v>0</v>
      </c>
      <c r="O91" s="588">
        <f t="shared" si="33"/>
        <v>0</v>
      </c>
      <c r="P91" s="588">
        <f t="shared" si="33"/>
        <v>0</v>
      </c>
      <c r="Q91" s="588">
        <f t="shared" si="33"/>
        <v>0</v>
      </c>
      <c r="R91" s="588">
        <f t="shared" si="33"/>
        <v>0</v>
      </c>
      <c r="S91" s="588">
        <f t="shared" si="33"/>
        <v>0</v>
      </c>
      <c r="T91" s="588">
        <f t="shared" si="33"/>
        <v>0</v>
      </c>
      <c r="U91" s="588">
        <f t="shared" si="33"/>
        <v>0</v>
      </c>
      <c r="V91" s="588">
        <f t="shared" si="33"/>
        <v>0</v>
      </c>
      <c r="W91" s="588">
        <f t="shared" si="33"/>
        <v>0</v>
      </c>
      <c r="X91" s="588">
        <f t="shared" si="33"/>
        <v>0</v>
      </c>
      <c r="Y91" s="588">
        <f t="shared" si="33"/>
        <v>51919050.359999999</v>
      </c>
      <c r="Z91" s="588">
        <f t="shared" si="33"/>
        <v>47994825</v>
      </c>
      <c r="AA91" s="588">
        <f t="shared" si="33"/>
        <v>18996071</v>
      </c>
      <c r="AB91" s="588">
        <f t="shared" si="33"/>
        <v>18573830</v>
      </c>
      <c r="AC91" s="428"/>
    </row>
    <row r="92" spans="1:29" ht="16.5" thickTop="1" thickBot="1">
      <c r="A92" s="443">
        <v>3</v>
      </c>
      <c r="B92" s="443" t="s">
        <v>854</v>
      </c>
      <c r="C92" s="443" t="s">
        <v>938</v>
      </c>
      <c r="D92" s="443" t="s">
        <v>839</v>
      </c>
      <c r="E92" s="443" t="s">
        <v>839</v>
      </c>
      <c r="F92" s="443"/>
      <c r="G92" s="443"/>
      <c r="H92" s="447" t="s">
        <v>1342</v>
      </c>
      <c r="I92" s="588">
        <f>+I93</f>
        <v>51919050.359999999</v>
      </c>
      <c r="J92" s="588">
        <f t="shared" si="33"/>
        <v>47994825</v>
      </c>
      <c r="K92" s="588">
        <f t="shared" si="33"/>
        <v>18996071</v>
      </c>
      <c r="L92" s="588">
        <f t="shared" si="33"/>
        <v>18573830</v>
      </c>
      <c r="M92" s="588">
        <f t="shared" si="33"/>
        <v>0</v>
      </c>
      <c r="N92" s="588">
        <f t="shared" si="33"/>
        <v>0</v>
      </c>
      <c r="O92" s="588">
        <f t="shared" si="33"/>
        <v>0</v>
      </c>
      <c r="P92" s="588">
        <f t="shared" si="33"/>
        <v>0</v>
      </c>
      <c r="Q92" s="588">
        <f t="shared" si="33"/>
        <v>0</v>
      </c>
      <c r="R92" s="588">
        <f t="shared" si="33"/>
        <v>0</v>
      </c>
      <c r="S92" s="588">
        <f t="shared" si="33"/>
        <v>0</v>
      </c>
      <c r="T92" s="588">
        <f t="shared" si="33"/>
        <v>0</v>
      </c>
      <c r="U92" s="588">
        <f t="shared" si="33"/>
        <v>0</v>
      </c>
      <c r="V92" s="588">
        <f t="shared" si="33"/>
        <v>0</v>
      </c>
      <c r="W92" s="588">
        <f t="shared" si="33"/>
        <v>0</v>
      </c>
      <c r="X92" s="588">
        <f t="shared" si="33"/>
        <v>0</v>
      </c>
      <c r="Y92" s="588">
        <f t="shared" si="33"/>
        <v>51919050.359999999</v>
      </c>
      <c r="Z92" s="588">
        <f t="shared" si="33"/>
        <v>47994825</v>
      </c>
      <c r="AA92" s="588">
        <f t="shared" si="33"/>
        <v>18996071</v>
      </c>
      <c r="AB92" s="588">
        <f t="shared" si="33"/>
        <v>18573830</v>
      </c>
      <c r="AC92" s="428"/>
    </row>
    <row r="93" spans="1:29" ht="16.5" thickTop="1" thickBot="1">
      <c r="A93" s="432">
        <v>2</v>
      </c>
      <c r="B93" s="432" t="s">
        <v>854</v>
      </c>
      <c r="C93" s="432" t="s">
        <v>938</v>
      </c>
      <c r="D93" s="432" t="s">
        <v>839</v>
      </c>
      <c r="E93" s="433" t="s">
        <v>839</v>
      </c>
      <c r="F93" s="433" t="s">
        <v>839</v>
      </c>
      <c r="G93" s="432"/>
      <c r="H93" s="448" t="s">
        <v>1336</v>
      </c>
      <c r="I93" s="582">
        <f>+I94</f>
        <v>51919050.359999999</v>
      </c>
      <c r="J93" s="582">
        <f t="shared" si="33"/>
        <v>47994825</v>
      </c>
      <c r="K93" s="582">
        <f t="shared" si="33"/>
        <v>18996071</v>
      </c>
      <c r="L93" s="582">
        <f t="shared" si="33"/>
        <v>18573830</v>
      </c>
      <c r="M93" s="582">
        <f t="shared" si="33"/>
        <v>0</v>
      </c>
      <c r="N93" s="582">
        <f t="shared" si="33"/>
        <v>0</v>
      </c>
      <c r="O93" s="582">
        <f t="shared" si="33"/>
        <v>0</v>
      </c>
      <c r="P93" s="582">
        <f t="shared" si="33"/>
        <v>0</v>
      </c>
      <c r="Q93" s="582">
        <f t="shared" si="33"/>
        <v>0</v>
      </c>
      <c r="R93" s="582">
        <f t="shared" si="33"/>
        <v>0</v>
      </c>
      <c r="S93" s="582">
        <f t="shared" si="33"/>
        <v>0</v>
      </c>
      <c r="T93" s="582">
        <f t="shared" si="33"/>
        <v>0</v>
      </c>
      <c r="U93" s="582">
        <f t="shared" si="33"/>
        <v>0</v>
      </c>
      <c r="V93" s="582">
        <f t="shared" si="33"/>
        <v>0</v>
      </c>
      <c r="W93" s="582">
        <f t="shared" si="33"/>
        <v>0</v>
      </c>
      <c r="X93" s="582">
        <f t="shared" si="33"/>
        <v>0</v>
      </c>
      <c r="Y93" s="582">
        <f t="shared" si="33"/>
        <v>51919050.359999999</v>
      </c>
      <c r="Z93" s="582">
        <f t="shared" si="33"/>
        <v>47994825</v>
      </c>
      <c r="AA93" s="582">
        <f t="shared" si="33"/>
        <v>18996071</v>
      </c>
      <c r="AB93" s="582">
        <f t="shared" si="33"/>
        <v>18573830</v>
      </c>
      <c r="AC93" s="428"/>
    </row>
    <row r="94" spans="1:29" ht="16.5" thickTop="1" thickBot="1">
      <c r="A94" s="432">
        <v>2</v>
      </c>
      <c r="B94" s="432" t="s">
        <v>854</v>
      </c>
      <c r="C94" s="432" t="s">
        <v>938</v>
      </c>
      <c r="D94" s="432" t="s">
        <v>839</v>
      </c>
      <c r="E94" s="433" t="s">
        <v>839</v>
      </c>
      <c r="F94" s="433" t="s">
        <v>839</v>
      </c>
      <c r="G94" s="433" t="s">
        <v>839</v>
      </c>
      <c r="H94" s="448" t="s">
        <v>1337</v>
      </c>
      <c r="I94" s="582">
        <v>51919050.359999999</v>
      </c>
      <c r="J94" s="582">
        <v>47994825</v>
      </c>
      <c r="K94" s="582">
        <v>18996071</v>
      </c>
      <c r="L94" s="582">
        <v>18573830</v>
      </c>
      <c r="M94" s="582"/>
      <c r="N94" s="582"/>
      <c r="O94" s="582"/>
      <c r="P94" s="582"/>
      <c r="Q94" s="582"/>
      <c r="R94" s="582"/>
      <c r="S94" s="582"/>
      <c r="T94" s="582"/>
      <c r="U94" s="582"/>
      <c r="V94" s="582"/>
      <c r="W94" s="582"/>
      <c r="X94" s="582"/>
      <c r="Y94" s="582">
        <f>+I94+M94+Q94+U94</f>
        <v>51919050.359999999</v>
      </c>
      <c r="Z94" s="582">
        <f>+J94+N94+R94+V94</f>
        <v>47994825</v>
      </c>
      <c r="AA94" s="582">
        <f>+K94+O94+S94+W94</f>
        <v>18996071</v>
      </c>
      <c r="AB94" s="582">
        <f>+L94+P94+T94+X94</f>
        <v>18573830</v>
      </c>
      <c r="AC94" s="428"/>
    </row>
    <row r="95" spans="1:29" ht="16.5" thickTop="1" thickBot="1">
      <c r="A95" s="445">
        <v>2</v>
      </c>
      <c r="B95" s="429" t="s">
        <v>854</v>
      </c>
      <c r="C95" s="429" t="s">
        <v>1079</v>
      </c>
      <c r="D95" s="429"/>
      <c r="E95" s="445"/>
      <c r="F95" s="445"/>
      <c r="G95" s="445"/>
      <c r="H95" s="446" t="s">
        <v>1353</v>
      </c>
      <c r="I95" s="592">
        <f>+I96+I100+I104</f>
        <v>33360000000</v>
      </c>
      <c r="J95" s="592">
        <f t="shared" ref="J95:AB95" si="34">+J96+J100+J104</f>
        <v>9838100766.4099998</v>
      </c>
      <c r="K95" s="592">
        <f t="shared" si="34"/>
        <v>1111140921</v>
      </c>
      <c r="L95" s="592">
        <f t="shared" si="34"/>
        <v>1043090921</v>
      </c>
      <c r="M95" s="592">
        <f t="shared" si="34"/>
        <v>0</v>
      </c>
      <c r="N95" s="592">
        <f t="shared" si="34"/>
        <v>0</v>
      </c>
      <c r="O95" s="592">
        <f t="shared" si="34"/>
        <v>0</v>
      </c>
      <c r="P95" s="592">
        <f t="shared" si="34"/>
        <v>0</v>
      </c>
      <c r="Q95" s="592">
        <f t="shared" si="34"/>
        <v>0</v>
      </c>
      <c r="R95" s="592">
        <f t="shared" si="34"/>
        <v>0</v>
      </c>
      <c r="S95" s="592">
        <f t="shared" si="34"/>
        <v>0</v>
      </c>
      <c r="T95" s="592">
        <f t="shared" si="34"/>
        <v>0</v>
      </c>
      <c r="U95" s="592">
        <f t="shared" si="34"/>
        <v>0</v>
      </c>
      <c r="V95" s="592">
        <f t="shared" si="34"/>
        <v>0</v>
      </c>
      <c r="W95" s="592">
        <f t="shared" si="34"/>
        <v>0</v>
      </c>
      <c r="X95" s="592">
        <f t="shared" si="34"/>
        <v>0</v>
      </c>
      <c r="Y95" s="592">
        <f t="shared" si="34"/>
        <v>33360000000</v>
      </c>
      <c r="Z95" s="592">
        <f t="shared" si="34"/>
        <v>9838100766.4099998</v>
      </c>
      <c r="AA95" s="592">
        <f t="shared" si="34"/>
        <v>1111140921</v>
      </c>
      <c r="AB95" s="592">
        <f t="shared" si="34"/>
        <v>1043090921</v>
      </c>
      <c r="AC95" s="428"/>
    </row>
    <row r="96" spans="1:29" ht="16.5" thickTop="1" thickBot="1">
      <c r="A96" s="443">
        <v>2</v>
      </c>
      <c r="B96" s="443" t="s">
        <v>854</v>
      </c>
      <c r="C96" s="443" t="s">
        <v>1079</v>
      </c>
      <c r="D96" s="443" t="s">
        <v>839</v>
      </c>
      <c r="E96" s="443"/>
      <c r="F96" s="443"/>
      <c r="G96" s="443"/>
      <c r="H96" s="447" t="s">
        <v>1354</v>
      </c>
      <c r="I96" s="588">
        <f>+I97</f>
        <v>19920000000</v>
      </c>
      <c r="J96" s="588">
        <f t="shared" ref="J96:AB98" si="35">+J97</f>
        <v>6179050696.4099998</v>
      </c>
      <c r="K96" s="588">
        <f t="shared" si="35"/>
        <v>847340921</v>
      </c>
      <c r="L96" s="588">
        <f t="shared" si="35"/>
        <v>819690921</v>
      </c>
      <c r="M96" s="588">
        <f t="shared" si="35"/>
        <v>0</v>
      </c>
      <c r="N96" s="588">
        <f t="shared" si="35"/>
        <v>0</v>
      </c>
      <c r="O96" s="588">
        <f t="shared" si="35"/>
        <v>0</v>
      </c>
      <c r="P96" s="588">
        <f t="shared" si="35"/>
        <v>0</v>
      </c>
      <c r="Q96" s="588">
        <f t="shared" si="35"/>
        <v>0</v>
      </c>
      <c r="R96" s="588">
        <f t="shared" si="35"/>
        <v>0</v>
      </c>
      <c r="S96" s="588">
        <f t="shared" si="35"/>
        <v>0</v>
      </c>
      <c r="T96" s="588">
        <f t="shared" si="35"/>
        <v>0</v>
      </c>
      <c r="U96" s="588">
        <f t="shared" si="35"/>
        <v>0</v>
      </c>
      <c r="V96" s="588">
        <f t="shared" si="35"/>
        <v>0</v>
      </c>
      <c r="W96" s="588">
        <f t="shared" si="35"/>
        <v>0</v>
      </c>
      <c r="X96" s="588">
        <f t="shared" si="35"/>
        <v>0</v>
      </c>
      <c r="Y96" s="588">
        <f t="shared" si="35"/>
        <v>19920000000</v>
      </c>
      <c r="Z96" s="588">
        <f t="shared" si="35"/>
        <v>6179050696.4099998</v>
      </c>
      <c r="AA96" s="588">
        <f t="shared" si="35"/>
        <v>847340921</v>
      </c>
      <c r="AB96" s="588">
        <f t="shared" si="35"/>
        <v>819690921</v>
      </c>
      <c r="AC96" s="428"/>
    </row>
    <row r="97" spans="1:29" ht="16.5" thickTop="1" thickBot="1">
      <c r="A97" s="443">
        <v>3</v>
      </c>
      <c r="B97" s="443" t="s">
        <v>854</v>
      </c>
      <c r="C97" s="443" t="s">
        <v>1079</v>
      </c>
      <c r="D97" s="443" t="s">
        <v>839</v>
      </c>
      <c r="E97" s="443" t="s">
        <v>839</v>
      </c>
      <c r="F97" s="443"/>
      <c r="G97" s="443"/>
      <c r="H97" s="447" t="s">
        <v>1342</v>
      </c>
      <c r="I97" s="588">
        <f>+I98</f>
        <v>19920000000</v>
      </c>
      <c r="J97" s="588">
        <f t="shared" si="35"/>
        <v>6179050696.4099998</v>
      </c>
      <c r="K97" s="588">
        <f t="shared" si="35"/>
        <v>847340921</v>
      </c>
      <c r="L97" s="588">
        <f t="shared" si="35"/>
        <v>819690921</v>
      </c>
      <c r="M97" s="588">
        <f t="shared" si="35"/>
        <v>0</v>
      </c>
      <c r="N97" s="588">
        <f t="shared" si="35"/>
        <v>0</v>
      </c>
      <c r="O97" s="588">
        <f t="shared" si="35"/>
        <v>0</v>
      </c>
      <c r="P97" s="588">
        <f t="shared" si="35"/>
        <v>0</v>
      </c>
      <c r="Q97" s="588">
        <f t="shared" si="35"/>
        <v>0</v>
      </c>
      <c r="R97" s="588">
        <f t="shared" si="35"/>
        <v>0</v>
      </c>
      <c r="S97" s="588">
        <f t="shared" si="35"/>
        <v>0</v>
      </c>
      <c r="T97" s="588">
        <f t="shared" si="35"/>
        <v>0</v>
      </c>
      <c r="U97" s="588">
        <f t="shared" si="35"/>
        <v>0</v>
      </c>
      <c r="V97" s="588">
        <f t="shared" si="35"/>
        <v>0</v>
      </c>
      <c r="W97" s="588">
        <f t="shared" si="35"/>
        <v>0</v>
      </c>
      <c r="X97" s="588">
        <f t="shared" si="35"/>
        <v>0</v>
      </c>
      <c r="Y97" s="588">
        <f t="shared" si="35"/>
        <v>19920000000</v>
      </c>
      <c r="Z97" s="588">
        <f t="shared" si="35"/>
        <v>6179050696.4099998</v>
      </c>
      <c r="AA97" s="588">
        <f t="shared" si="35"/>
        <v>847340921</v>
      </c>
      <c r="AB97" s="588">
        <f t="shared" si="35"/>
        <v>819690921</v>
      </c>
      <c r="AC97" s="428"/>
    </row>
    <row r="98" spans="1:29" ht="16.5" thickTop="1" thickBot="1">
      <c r="A98" s="432">
        <v>2</v>
      </c>
      <c r="B98" s="432" t="s">
        <v>854</v>
      </c>
      <c r="C98" s="432" t="s">
        <v>1079</v>
      </c>
      <c r="D98" s="433" t="s">
        <v>839</v>
      </c>
      <c r="E98" s="433" t="s">
        <v>839</v>
      </c>
      <c r="F98" s="433" t="s">
        <v>839</v>
      </c>
      <c r="G98" s="432"/>
      <c r="H98" s="448" t="s">
        <v>1336</v>
      </c>
      <c r="I98" s="582">
        <f>+I99</f>
        <v>19920000000</v>
      </c>
      <c r="J98" s="582">
        <f t="shared" si="35"/>
        <v>6179050696.4099998</v>
      </c>
      <c r="K98" s="582">
        <f t="shared" si="35"/>
        <v>847340921</v>
      </c>
      <c r="L98" s="582">
        <f t="shared" si="35"/>
        <v>819690921</v>
      </c>
      <c r="M98" s="582">
        <f t="shared" si="35"/>
        <v>0</v>
      </c>
      <c r="N98" s="582">
        <f t="shared" si="35"/>
        <v>0</v>
      </c>
      <c r="O98" s="582">
        <f t="shared" si="35"/>
        <v>0</v>
      </c>
      <c r="P98" s="582">
        <f t="shared" si="35"/>
        <v>0</v>
      </c>
      <c r="Q98" s="582">
        <f t="shared" si="35"/>
        <v>0</v>
      </c>
      <c r="R98" s="582">
        <f t="shared" si="35"/>
        <v>0</v>
      </c>
      <c r="S98" s="582">
        <f t="shared" si="35"/>
        <v>0</v>
      </c>
      <c r="T98" s="582">
        <f t="shared" si="35"/>
        <v>0</v>
      </c>
      <c r="U98" s="582">
        <f t="shared" si="35"/>
        <v>0</v>
      </c>
      <c r="V98" s="582">
        <f t="shared" si="35"/>
        <v>0</v>
      </c>
      <c r="W98" s="582">
        <f t="shared" si="35"/>
        <v>0</v>
      </c>
      <c r="X98" s="582">
        <f t="shared" si="35"/>
        <v>0</v>
      </c>
      <c r="Y98" s="582">
        <f t="shared" si="35"/>
        <v>19920000000</v>
      </c>
      <c r="Z98" s="582">
        <f t="shared" si="35"/>
        <v>6179050696.4099998</v>
      </c>
      <c r="AA98" s="582">
        <f t="shared" si="35"/>
        <v>847340921</v>
      </c>
      <c r="AB98" s="582">
        <f t="shared" si="35"/>
        <v>819690921</v>
      </c>
      <c r="AC98" s="428"/>
    </row>
    <row r="99" spans="1:29" ht="16.5" thickTop="1" thickBot="1">
      <c r="A99" s="432">
        <v>2</v>
      </c>
      <c r="B99" s="432" t="s">
        <v>854</v>
      </c>
      <c r="C99" s="432" t="s">
        <v>1079</v>
      </c>
      <c r="D99" s="432" t="s">
        <v>839</v>
      </c>
      <c r="E99" s="433" t="s">
        <v>839</v>
      </c>
      <c r="F99" s="433" t="s">
        <v>839</v>
      </c>
      <c r="G99" s="433" t="s">
        <v>839</v>
      </c>
      <c r="H99" s="448" t="s">
        <v>1337</v>
      </c>
      <c r="I99" s="582">
        <v>19920000000</v>
      </c>
      <c r="J99" s="582">
        <v>6179050696.4099998</v>
      </c>
      <c r="K99" s="582">
        <v>847340921</v>
      </c>
      <c r="L99" s="582">
        <v>819690921</v>
      </c>
      <c r="M99" s="582"/>
      <c r="N99" s="582"/>
      <c r="O99" s="582"/>
      <c r="P99" s="582"/>
      <c r="Q99" s="582"/>
      <c r="R99" s="582"/>
      <c r="S99" s="582"/>
      <c r="T99" s="582"/>
      <c r="U99" s="582"/>
      <c r="V99" s="582"/>
      <c r="W99" s="582"/>
      <c r="X99" s="582"/>
      <c r="Y99" s="582">
        <f>+I99+M99+Q99+U99</f>
        <v>19920000000</v>
      </c>
      <c r="Z99" s="582">
        <f>+J99+N99+R99+V99</f>
        <v>6179050696.4099998</v>
      </c>
      <c r="AA99" s="582">
        <f>+K99+O99+S99+W99</f>
        <v>847340921</v>
      </c>
      <c r="AB99" s="582">
        <f>+L99+P99+T99+X99</f>
        <v>819690921</v>
      </c>
      <c r="AC99" s="428"/>
    </row>
    <row r="100" spans="1:29" ht="16.5" thickTop="1" thickBot="1">
      <c r="A100" s="443">
        <v>2</v>
      </c>
      <c r="B100" s="443" t="s">
        <v>854</v>
      </c>
      <c r="C100" s="443" t="s">
        <v>1079</v>
      </c>
      <c r="D100" s="443" t="s">
        <v>852</v>
      </c>
      <c r="E100" s="443"/>
      <c r="F100" s="443"/>
      <c r="G100" s="443"/>
      <c r="H100" s="447" t="s">
        <v>1355</v>
      </c>
      <c r="I100" s="588">
        <f>+I101</f>
        <v>11440000000</v>
      </c>
      <c r="J100" s="588">
        <f t="shared" ref="J100:AB102" si="36">+J101</f>
        <v>1659050070</v>
      </c>
      <c r="K100" s="588">
        <f t="shared" si="36"/>
        <v>262300000</v>
      </c>
      <c r="L100" s="588">
        <f t="shared" si="36"/>
        <v>221900000</v>
      </c>
      <c r="M100" s="588">
        <f t="shared" si="36"/>
        <v>0</v>
      </c>
      <c r="N100" s="588">
        <f t="shared" si="36"/>
        <v>0</v>
      </c>
      <c r="O100" s="588">
        <f t="shared" si="36"/>
        <v>0</v>
      </c>
      <c r="P100" s="588">
        <f t="shared" si="36"/>
        <v>0</v>
      </c>
      <c r="Q100" s="588">
        <f t="shared" si="36"/>
        <v>0</v>
      </c>
      <c r="R100" s="588">
        <f t="shared" si="36"/>
        <v>0</v>
      </c>
      <c r="S100" s="588">
        <f t="shared" si="36"/>
        <v>0</v>
      </c>
      <c r="T100" s="588">
        <f t="shared" si="36"/>
        <v>0</v>
      </c>
      <c r="U100" s="588">
        <f t="shared" si="36"/>
        <v>0</v>
      </c>
      <c r="V100" s="588">
        <f t="shared" si="36"/>
        <v>0</v>
      </c>
      <c r="W100" s="588">
        <f t="shared" si="36"/>
        <v>0</v>
      </c>
      <c r="X100" s="588">
        <f t="shared" si="36"/>
        <v>0</v>
      </c>
      <c r="Y100" s="588">
        <f t="shared" si="36"/>
        <v>11440000000</v>
      </c>
      <c r="Z100" s="588">
        <f t="shared" si="36"/>
        <v>1659050070</v>
      </c>
      <c r="AA100" s="588">
        <f t="shared" si="36"/>
        <v>262300000</v>
      </c>
      <c r="AB100" s="588">
        <f t="shared" si="36"/>
        <v>221900000</v>
      </c>
      <c r="AC100" s="428"/>
    </row>
    <row r="101" spans="1:29" ht="16.5" thickTop="1" thickBot="1">
      <c r="A101" s="443">
        <v>3</v>
      </c>
      <c r="B101" s="443" t="s">
        <v>854</v>
      </c>
      <c r="C101" s="443" t="s">
        <v>1079</v>
      </c>
      <c r="D101" s="443" t="s">
        <v>852</v>
      </c>
      <c r="E101" s="443" t="s">
        <v>839</v>
      </c>
      <c r="F101" s="443"/>
      <c r="G101" s="443"/>
      <c r="H101" s="447" t="s">
        <v>1342</v>
      </c>
      <c r="I101" s="588">
        <f>+I102</f>
        <v>11440000000</v>
      </c>
      <c r="J101" s="588">
        <f t="shared" si="36"/>
        <v>1659050070</v>
      </c>
      <c r="K101" s="588">
        <f t="shared" si="36"/>
        <v>262300000</v>
      </c>
      <c r="L101" s="588">
        <f t="shared" si="36"/>
        <v>221900000</v>
      </c>
      <c r="M101" s="588">
        <f t="shared" si="36"/>
        <v>0</v>
      </c>
      <c r="N101" s="588">
        <f t="shared" si="36"/>
        <v>0</v>
      </c>
      <c r="O101" s="588">
        <f t="shared" si="36"/>
        <v>0</v>
      </c>
      <c r="P101" s="588">
        <f t="shared" si="36"/>
        <v>0</v>
      </c>
      <c r="Q101" s="588">
        <f t="shared" si="36"/>
        <v>0</v>
      </c>
      <c r="R101" s="588">
        <f t="shared" si="36"/>
        <v>0</v>
      </c>
      <c r="S101" s="588">
        <f t="shared" si="36"/>
        <v>0</v>
      </c>
      <c r="T101" s="588">
        <f t="shared" si="36"/>
        <v>0</v>
      </c>
      <c r="U101" s="588">
        <f t="shared" si="36"/>
        <v>0</v>
      </c>
      <c r="V101" s="588">
        <f t="shared" si="36"/>
        <v>0</v>
      </c>
      <c r="W101" s="588">
        <f t="shared" si="36"/>
        <v>0</v>
      </c>
      <c r="X101" s="588">
        <f t="shared" si="36"/>
        <v>0</v>
      </c>
      <c r="Y101" s="588">
        <f t="shared" si="36"/>
        <v>11440000000</v>
      </c>
      <c r="Z101" s="588">
        <f t="shared" si="36"/>
        <v>1659050070</v>
      </c>
      <c r="AA101" s="588">
        <f t="shared" si="36"/>
        <v>262300000</v>
      </c>
      <c r="AB101" s="588">
        <f t="shared" si="36"/>
        <v>221900000</v>
      </c>
      <c r="AC101" s="428"/>
    </row>
    <row r="102" spans="1:29" ht="16.5" thickTop="1" thickBot="1">
      <c r="A102" s="432">
        <v>2</v>
      </c>
      <c r="B102" s="432" t="s">
        <v>854</v>
      </c>
      <c r="C102" s="432" t="s">
        <v>1079</v>
      </c>
      <c r="D102" s="433" t="s">
        <v>852</v>
      </c>
      <c r="E102" s="433" t="s">
        <v>839</v>
      </c>
      <c r="F102" s="433" t="s">
        <v>839</v>
      </c>
      <c r="G102" s="432"/>
      <c r="H102" s="448" t="s">
        <v>1336</v>
      </c>
      <c r="I102" s="582">
        <f>+I103</f>
        <v>11440000000</v>
      </c>
      <c r="J102" s="582">
        <f t="shared" si="36"/>
        <v>1659050070</v>
      </c>
      <c r="K102" s="582">
        <f t="shared" si="36"/>
        <v>262300000</v>
      </c>
      <c r="L102" s="582">
        <f t="shared" si="36"/>
        <v>221900000</v>
      </c>
      <c r="M102" s="582">
        <f t="shared" si="36"/>
        <v>0</v>
      </c>
      <c r="N102" s="582">
        <f t="shared" si="36"/>
        <v>0</v>
      </c>
      <c r="O102" s="582">
        <f t="shared" si="36"/>
        <v>0</v>
      </c>
      <c r="P102" s="582">
        <f t="shared" si="36"/>
        <v>0</v>
      </c>
      <c r="Q102" s="582">
        <f t="shared" si="36"/>
        <v>0</v>
      </c>
      <c r="R102" s="582">
        <f t="shared" si="36"/>
        <v>0</v>
      </c>
      <c r="S102" s="582">
        <f t="shared" si="36"/>
        <v>0</v>
      </c>
      <c r="T102" s="582">
        <f t="shared" si="36"/>
        <v>0</v>
      </c>
      <c r="U102" s="582">
        <f t="shared" si="36"/>
        <v>0</v>
      </c>
      <c r="V102" s="582">
        <f t="shared" si="36"/>
        <v>0</v>
      </c>
      <c r="W102" s="582">
        <f t="shared" si="36"/>
        <v>0</v>
      </c>
      <c r="X102" s="582">
        <f t="shared" si="36"/>
        <v>0</v>
      </c>
      <c r="Y102" s="582">
        <f t="shared" si="36"/>
        <v>11440000000</v>
      </c>
      <c r="Z102" s="582">
        <f t="shared" si="36"/>
        <v>1659050070</v>
      </c>
      <c r="AA102" s="582">
        <f t="shared" si="36"/>
        <v>262300000</v>
      </c>
      <c r="AB102" s="582">
        <f t="shared" si="36"/>
        <v>221900000</v>
      </c>
      <c r="AC102" s="428"/>
    </row>
    <row r="103" spans="1:29" ht="16.5" thickTop="1" thickBot="1">
      <c r="A103" s="432">
        <v>2</v>
      </c>
      <c r="B103" s="432" t="s">
        <v>854</v>
      </c>
      <c r="C103" s="432" t="s">
        <v>1079</v>
      </c>
      <c r="D103" s="433" t="s">
        <v>852</v>
      </c>
      <c r="E103" s="433" t="s">
        <v>839</v>
      </c>
      <c r="F103" s="433" t="s">
        <v>839</v>
      </c>
      <c r="G103" s="433" t="s">
        <v>839</v>
      </c>
      <c r="H103" s="448" t="s">
        <v>1337</v>
      </c>
      <c r="I103" s="582">
        <v>11440000000</v>
      </c>
      <c r="J103" s="582">
        <v>1659050070</v>
      </c>
      <c r="K103" s="582">
        <v>262300000</v>
      </c>
      <c r="L103" s="582">
        <v>221900000</v>
      </c>
      <c r="M103" s="582"/>
      <c r="N103" s="582"/>
      <c r="O103" s="582"/>
      <c r="P103" s="582"/>
      <c r="Q103" s="582"/>
      <c r="R103" s="582"/>
      <c r="S103" s="582"/>
      <c r="T103" s="582"/>
      <c r="U103" s="582"/>
      <c r="V103" s="582"/>
      <c r="W103" s="582"/>
      <c r="X103" s="582"/>
      <c r="Y103" s="582">
        <f>+I103+M103+Q103+U103</f>
        <v>11440000000</v>
      </c>
      <c r="Z103" s="582">
        <f>+J103+N103+R103+V103</f>
        <v>1659050070</v>
      </c>
      <c r="AA103" s="582">
        <f>+K103+O103+S103+W103</f>
        <v>262300000</v>
      </c>
      <c r="AB103" s="582">
        <f>+L103+P103+T103+X103</f>
        <v>221900000</v>
      </c>
      <c r="AC103" s="428"/>
    </row>
    <row r="104" spans="1:29" ht="16.5" thickTop="1" thickBot="1">
      <c r="A104" s="443">
        <v>2</v>
      </c>
      <c r="B104" s="443" t="s">
        <v>854</v>
      </c>
      <c r="C104" s="443" t="s">
        <v>1079</v>
      </c>
      <c r="D104" s="443" t="s">
        <v>854</v>
      </c>
      <c r="E104" s="443"/>
      <c r="F104" s="443"/>
      <c r="G104" s="443"/>
      <c r="H104" s="447" t="s">
        <v>1356</v>
      </c>
      <c r="I104" s="588">
        <f>+I105</f>
        <v>2000000000</v>
      </c>
      <c r="J104" s="588">
        <f t="shared" ref="J104:AB106" si="37">+J105</f>
        <v>2000000000</v>
      </c>
      <c r="K104" s="588">
        <f t="shared" si="37"/>
        <v>1500000</v>
      </c>
      <c r="L104" s="588">
        <f t="shared" si="37"/>
        <v>1500000</v>
      </c>
      <c r="M104" s="588">
        <f t="shared" si="37"/>
        <v>0</v>
      </c>
      <c r="N104" s="588">
        <f t="shared" si="37"/>
        <v>0</v>
      </c>
      <c r="O104" s="588">
        <f t="shared" si="37"/>
        <v>0</v>
      </c>
      <c r="P104" s="588">
        <f t="shared" si="37"/>
        <v>0</v>
      </c>
      <c r="Q104" s="588">
        <f t="shared" si="37"/>
        <v>0</v>
      </c>
      <c r="R104" s="588">
        <f t="shared" si="37"/>
        <v>0</v>
      </c>
      <c r="S104" s="588">
        <f t="shared" si="37"/>
        <v>0</v>
      </c>
      <c r="T104" s="588">
        <f t="shared" si="37"/>
        <v>0</v>
      </c>
      <c r="U104" s="588">
        <f t="shared" si="37"/>
        <v>0</v>
      </c>
      <c r="V104" s="588">
        <f t="shared" si="37"/>
        <v>0</v>
      </c>
      <c r="W104" s="588">
        <f t="shared" si="37"/>
        <v>0</v>
      </c>
      <c r="X104" s="588">
        <f t="shared" si="37"/>
        <v>0</v>
      </c>
      <c r="Y104" s="588">
        <f t="shared" si="37"/>
        <v>2000000000</v>
      </c>
      <c r="Z104" s="588">
        <f t="shared" si="37"/>
        <v>2000000000</v>
      </c>
      <c r="AA104" s="588">
        <f t="shared" si="37"/>
        <v>1500000</v>
      </c>
      <c r="AB104" s="588">
        <f t="shared" si="37"/>
        <v>1500000</v>
      </c>
      <c r="AC104" s="428"/>
    </row>
    <row r="105" spans="1:29" ht="16.5" thickTop="1" thickBot="1">
      <c r="A105" s="443">
        <v>3</v>
      </c>
      <c r="B105" s="443" t="s">
        <v>854</v>
      </c>
      <c r="C105" s="443" t="s">
        <v>1079</v>
      </c>
      <c r="D105" s="443" t="s">
        <v>854</v>
      </c>
      <c r="E105" s="443" t="s">
        <v>839</v>
      </c>
      <c r="F105" s="443"/>
      <c r="G105" s="443"/>
      <c r="H105" s="447" t="s">
        <v>1342</v>
      </c>
      <c r="I105" s="588">
        <f>+I106</f>
        <v>2000000000</v>
      </c>
      <c r="J105" s="588">
        <f t="shared" si="37"/>
        <v>2000000000</v>
      </c>
      <c r="K105" s="588">
        <f t="shared" si="37"/>
        <v>1500000</v>
      </c>
      <c r="L105" s="588">
        <f t="shared" si="37"/>
        <v>1500000</v>
      </c>
      <c r="M105" s="588">
        <f t="shared" si="37"/>
        <v>0</v>
      </c>
      <c r="N105" s="588">
        <f t="shared" si="37"/>
        <v>0</v>
      </c>
      <c r="O105" s="588">
        <f t="shared" si="37"/>
        <v>0</v>
      </c>
      <c r="P105" s="588">
        <f t="shared" si="37"/>
        <v>0</v>
      </c>
      <c r="Q105" s="588">
        <f t="shared" si="37"/>
        <v>0</v>
      </c>
      <c r="R105" s="588">
        <f t="shared" si="37"/>
        <v>0</v>
      </c>
      <c r="S105" s="588">
        <f t="shared" si="37"/>
        <v>0</v>
      </c>
      <c r="T105" s="588">
        <f t="shared" si="37"/>
        <v>0</v>
      </c>
      <c r="U105" s="588">
        <f t="shared" si="37"/>
        <v>0</v>
      </c>
      <c r="V105" s="588">
        <f t="shared" si="37"/>
        <v>0</v>
      </c>
      <c r="W105" s="588">
        <f t="shared" si="37"/>
        <v>0</v>
      </c>
      <c r="X105" s="588">
        <f t="shared" si="37"/>
        <v>0</v>
      </c>
      <c r="Y105" s="588">
        <f t="shared" si="37"/>
        <v>2000000000</v>
      </c>
      <c r="Z105" s="588">
        <f t="shared" si="37"/>
        <v>2000000000</v>
      </c>
      <c r="AA105" s="588">
        <f t="shared" si="37"/>
        <v>1500000</v>
      </c>
      <c r="AB105" s="588">
        <f t="shared" si="37"/>
        <v>1500000</v>
      </c>
      <c r="AC105" s="428"/>
    </row>
    <row r="106" spans="1:29" ht="16.5" thickTop="1" thickBot="1">
      <c r="A106" s="432">
        <v>2</v>
      </c>
      <c r="B106" s="432" t="s">
        <v>854</v>
      </c>
      <c r="C106" s="432" t="s">
        <v>1079</v>
      </c>
      <c r="D106" s="433" t="s">
        <v>854</v>
      </c>
      <c r="E106" s="433" t="s">
        <v>839</v>
      </c>
      <c r="F106" s="433" t="s">
        <v>839</v>
      </c>
      <c r="G106" s="432"/>
      <c r="H106" s="448" t="s">
        <v>1336</v>
      </c>
      <c r="I106" s="582">
        <f>+I107</f>
        <v>2000000000</v>
      </c>
      <c r="J106" s="582">
        <f t="shared" si="37"/>
        <v>2000000000</v>
      </c>
      <c r="K106" s="582">
        <f t="shared" si="37"/>
        <v>1500000</v>
      </c>
      <c r="L106" s="582">
        <f t="shared" si="37"/>
        <v>1500000</v>
      </c>
      <c r="M106" s="582">
        <f t="shared" si="37"/>
        <v>0</v>
      </c>
      <c r="N106" s="582">
        <f t="shared" si="37"/>
        <v>0</v>
      </c>
      <c r="O106" s="582">
        <f t="shared" si="37"/>
        <v>0</v>
      </c>
      <c r="P106" s="582">
        <f t="shared" si="37"/>
        <v>0</v>
      </c>
      <c r="Q106" s="582">
        <f t="shared" si="37"/>
        <v>0</v>
      </c>
      <c r="R106" s="582">
        <f t="shared" si="37"/>
        <v>0</v>
      </c>
      <c r="S106" s="582">
        <f t="shared" si="37"/>
        <v>0</v>
      </c>
      <c r="T106" s="582">
        <f t="shared" si="37"/>
        <v>0</v>
      </c>
      <c r="U106" s="582">
        <f t="shared" si="37"/>
        <v>0</v>
      </c>
      <c r="V106" s="582">
        <f t="shared" si="37"/>
        <v>0</v>
      </c>
      <c r="W106" s="582">
        <f t="shared" si="37"/>
        <v>0</v>
      </c>
      <c r="X106" s="582">
        <f t="shared" si="37"/>
        <v>0</v>
      </c>
      <c r="Y106" s="582">
        <f t="shared" si="37"/>
        <v>2000000000</v>
      </c>
      <c r="Z106" s="582">
        <f t="shared" si="37"/>
        <v>2000000000</v>
      </c>
      <c r="AA106" s="582">
        <f t="shared" si="37"/>
        <v>1500000</v>
      </c>
      <c r="AB106" s="582">
        <f t="shared" si="37"/>
        <v>1500000</v>
      </c>
      <c r="AC106" s="428"/>
    </row>
    <row r="107" spans="1:29" ht="16.5" thickTop="1" thickBot="1">
      <c r="A107" s="432">
        <v>2</v>
      </c>
      <c r="B107" s="432" t="s">
        <v>854</v>
      </c>
      <c r="C107" s="432" t="s">
        <v>1079</v>
      </c>
      <c r="D107" s="433" t="s">
        <v>854</v>
      </c>
      <c r="E107" s="433" t="s">
        <v>839</v>
      </c>
      <c r="F107" s="433" t="s">
        <v>839</v>
      </c>
      <c r="G107" s="433" t="s">
        <v>839</v>
      </c>
      <c r="H107" s="448" t="s">
        <v>1337</v>
      </c>
      <c r="I107" s="582">
        <v>2000000000</v>
      </c>
      <c r="J107" s="582">
        <v>2000000000</v>
      </c>
      <c r="K107" s="582">
        <v>1500000</v>
      </c>
      <c r="L107" s="582">
        <v>1500000</v>
      </c>
      <c r="M107" s="582"/>
      <c r="N107" s="582"/>
      <c r="O107" s="582"/>
      <c r="P107" s="582"/>
      <c r="Q107" s="582"/>
      <c r="R107" s="582"/>
      <c r="S107" s="582"/>
      <c r="T107" s="582"/>
      <c r="U107" s="582"/>
      <c r="V107" s="582"/>
      <c r="W107" s="582"/>
      <c r="X107" s="582"/>
      <c r="Y107" s="582">
        <f>+I107+M107+Q107+U107</f>
        <v>2000000000</v>
      </c>
      <c r="Z107" s="582">
        <f>+J107+N107+R107+V107</f>
        <v>2000000000</v>
      </c>
      <c r="AA107" s="582">
        <f>+K107+O107+S107+W107</f>
        <v>1500000</v>
      </c>
      <c r="AB107" s="582">
        <f>+L107+P107+T107+X107</f>
        <v>1500000</v>
      </c>
      <c r="AC107" s="428"/>
    </row>
    <row r="108" spans="1:29" ht="16.5" thickTop="1" thickBot="1">
      <c r="A108" s="445">
        <v>2</v>
      </c>
      <c r="B108" s="429" t="s">
        <v>854</v>
      </c>
      <c r="C108" s="429" t="s">
        <v>1081</v>
      </c>
      <c r="D108" s="429"/>
      <c r="E108" s="445"/>
      <c r="F108" s="445"/>
      <c r="G108" s="445"/>
      <c r="H108" s="446" t="s">
        <v>1357</v>
      </c>
      <c r="I108" s="592">
        <f>+I109+I113+I117</f>
        <v>3037160427</v>
      </c>
      <c r="J108" s="592">
        <f t="shared" ref="J108:AB108" si="38">+J109+J113+J117</f>
        <v>2080635000</v>
      </c>
      <c r="K108" s="592">
        <f t="shared" si="38"/>
        <v>594700000</v>
      </c>
      <c r="L108" s="592">
        <f t="shared" si="38"/>
        <v>382200000</v>
      </c>
      <c r="M108" s="592">
        <f t="shared" si="38"/>
        <v>0</v>
      </c>
      <c r="N108" s="592">
        <f t="shared" si="38"/>
        <v>0</v>
      </c>
      <c r="O108" s="592">
        <f t="shared" si="38"/>
        <v>0</v>
      </c>
      <c r="P108" s="592">
        <f t="shared" si="38"/>
        <v>0</v>
      </c>
      <c r="Q108" s="592">
        <f t="shared" si="38"/>
        <v>0</v>
      </c>
      <c r="R108" s="592">
        <f t="shared" si="38"/>
        <v>0</v>
      </c>
      <c r="S108" s="592">
        <f t="shared" si="38"/>
        <v>0</v>
      </c>
      <c r="T108" s="592">
        <f t="shared" si="38"/>
        <v>0</v>
      </c>
      <c r="U108" s="592">
        <f t="shared" si="38"/>
        <v>0</v>
      </c>
      <c r="V108" s="592">
        <f t="shared" si="38"/>
        <v>0</v>
      </c>
      <c r="W108" s="592">
        <f t="shared" si="38"/>
        <v>0</v>
      </c>
      <c r="X108" s="592">
        <f t="shared" si="38"/>
        <v>0</v>
      </c>
      <c r="Y108" s="592">
        <f t="shared" si="38"/>
        <v>3037160427</v>
      </c>
      <c r="Z108" s="592">
        <f t="shared" si="38"/>
        <v>2080635000</v>
      </c>
      <c r="AA108" s="592">
        <f t="shared" si="38"/>
        <v>594700000</v>
      </c>
      <c r="AB108" s="592">
        <f t="shared" si="38"/>
        <v>382200000</v>
      </c>
      <c r="AC108" s="428"/>
    </row>
    <row r="109" spans="1:29" ht="16.5" thickTop="1" thickBot="1">
      <c r="A109" s="443">
        <v>2</v>
      </c>
      <c r="B109" s="443" t="s">
        <v>854</v>
      </c>
      <c r="C109" s="443" t="s">
        <v>1081</v>
      </c>
      <c r="D109" s="443" t="s">
        <v>839</v>
      </c>
      <c r="E109" s="443"/>
      <c r="F109" s="443"/>
      <c r="G109" s="443"/>
      <c r="H109" s="447" t="s">
        <v>1358</v>
      </c>
      <c r="I109" s="588">
        <f>+I110</f>
        <v>1420000000</v>
      </c>
      <c r="J109" s="588">
        <f t="shared" ref="J109:AB111" si="39">+J110</f>
        <v>1417500000</v>
      </c>
      <c r="K109" s="588">
        <f t="shared" si="39"/>
        <v>42500000</v>
      </c>
      <c r="L109" s="588">
        <f t="shared" si="39"/>
        <v>42500000</v>
      </c>
      <c r="M109" s="588">
        <f t="shared" si="39"/>
        <v>0</v>
      </c>
      <c r="N109" s="588">
        <f t="shared" si="39"/>
        <v>0</v>
      </c>
      <c r="O109" s="588">
        <f t="shared" si="39"/>
        <v>0</v>
      </c>
      <c r="P109" s="588">
        <f t="shared" si="39"/>
        <v>0</v>
      </c>
      <c r="Q109" s="588">
        <f t="shared" si="39"/>
        <v>0</v>
      </c>
      <c r="R109" s="588">
        <f t="shared" si="39"/>
        <v>0</v>
      </c>
      <c r="S109" s="588">
        <f t="shared" si="39"/>
        <v>0</v>
      </c>
      <c r="T109" s="588">
        <f t="shared" si="39"/>
        <v>0</v>
      </c>
      <c r="U109" s="588">
        <f t="shared" si="39"/>
        <v>0</v>
      </c>
      <c r="V109" s="588">
        <f t="shared" si="39"/>
        <v>0</v>
      </c>
      <c r="W109" s="588">
        <f t="shared" si="39"/>
        <v>0</v>
      </c>
      <c r="X109" s="588">
        <f t="shared" si="39"/>
        <v>0</v>
      </c>
      <c r="Y109" s="588">
        <f t="shared" si="39"/>
        <v>1420000000</v>
      </c>
      <c r="Z109" s="588">
        <f t="shared" si="39"/>
        <v>1417500000</v>
      </c>
      <c r="AA109" s="588">
        <f t="shared" si="39"/>
        <v>42500000</v>
      </c>
      <c r="AB109" s="588">
        <f t="shared" si="39"/>
        <v>42500000</v>
      </c>
      <c r="AC109" s="428"/>
    </row>
    <row r="110" spans="1:29" ht="16.5" thickTop="1" thickBot="1">
      <c r="A110" s="443">
        <v>3</v>
      </c>
      <c r="B110" s="443" t="s">
        <v>854</v>
      </c>
      <c r="C110" s="443" t="s">
        <v>1081</v>
      </c>
      <c r="D110" s="443" t="s">
        <v>839</v>
      </c>
      <c r="E110" s="443" t="s">
        <v>839</v>
      </c>
      <c r="F110" s="443"/>
      <c r="G110" s="443"/>
      <c r="H110" s="447" t="s">
        <v>1342</v>
      </c>
      <c r="I110" s="588">
        <f>+I111</f>
        <v>1420000000</v>
      </c>
      <c r="J110" s="588">
        <f t="shared" si="39"/>
        <v>1417500000</v>
      </c>
      <c r="K110" s="588">
        <f t="shared" si="39"/>
        <v>42500000</v>
      </c>
      <c r="L110" s="588">
        <f t="shared" si="39"/>
        <v>42500000</v>
      </c>
      <c r="M110" s="588">
        <f t="shared" si="39"/>
        <v>0</v>
      </c>
      <c r="N110" s="588">
        <f t="shared" si="39"/>
        <v>0</v>
      </c>
      <c r="O110" s="588">
        <f t="shared" si="39"/>
        <v>0</v>
      </c>
      <c r="P110" s="588">
        <f t="shared" si="39"/>
        <v>0</v>
      </c>
      <c r="Q110" s="588">
        <f t="shared" si="39"/>
        <v>0</v>
      </c>
      <c r="R110" s="588">
        <f t="shared" si="39"/>
        <v>0</v>
      </c>
      <c r="S110" s="588">
        <f t="shared" si="39"/>
        <v>0</v>
      </c>
      <c r="T110" s="588">
        <f t="shared" si="39"/>
        <v>0</v>
      </c>
      <c r="U110" s="588">
        <f t="shared" si="39"/>
        <v>0</v>
      </c>
      <c r="V110" s="588">
        <f t="shared" si="39"/>
        <v>0</v>
      </c>
      <c r="W110" s="588">
        <f t="shared" si="39"/>
        <v>0</v>
      </c>
      <c r="X110" s="588">
        <f t="shared" si="39"/>
        <v>0</v>
      </c>
      <c r="Y110" s="588">
        <f t="shared" si="39"/>
        <v>1420000000</v>
      </c>
      <c r="Z110" s="588">
        <f t="shared" si="39"/>
        <v>1417500000</v>
      </c>
      <c r="AA110" s="588">
        <f t="shared" si="39"/>
        <v>42500000</v>
      </c>
      <c r="AB110" s="588">
        <f t="shared" si="39"/>
        <v>42500000</v>
      </c>
      <c r="AC110" s="428"/>
    </row>
    <row r="111" spans="1:29" ht="16.5" thickTop="1" thickBot="1">
      <c r="A111" s="432">
        <v>2</v>
      </c>
      <c r="B111" s="432" t="s">
        <v>854</v>
      </c>
      <c r="C111" s="433" t="s">
        <v>1081</v>
      </c>
      <c r="D111" s="433" t="s">
        <v>839</v>
      </c>
      <c r="E111" s="433" t="s">
        <v>839</v>
      </c>
      <c r="F111" s="433" t="s">
        <v>839</v>
      </c>
      <c r="G111" s="432"/>
      <c r="H111" s="448" t="s">
        <v>1336</v>
      </c>
      <c r="I111" s="582">
        <f>+I112</f>
        <v>1420000000</v>
      </c>
      <c r="J111" s="582">
        <f t="shared" si="39"/>
        <v>1417500000</v>
      </c>
      <c r="K111" s="582">
        <f t="shared" si="39"/>
        <v>42500000</v>
      </c>
      <c r="L111" s="582">
        <f t="shared" si="39"/>
        <v>42500000</v>
      </c>
      <c r="M111" s="582">
        <f t="shared" si="39"/>
        <v>0</v>
      </c>
      <c r="N111" s="582">
        <f t="shared" si="39"/>
        <v>0</v>
      </c>
      <c r="O111" s="582">
        <f t="shared" si="39"/>
        <v>0</v>
      </c>
      <c r="P111" s="582">
        <f t="shared" si="39"/>
        <v>0</v>
      </c>
      <c r="Q111" s="582">
        <f t="shared" si="39"/>
        <v>0</v>
      </c>
      <c r="R111" s="582">
        <f t="shared" si="39"/>
        <v>0</v>
      </c>
      <c r="S111" s="582">
        <f t="shared" si="39"/>
        <v>0</v>
      </c>
      <c r="T111" s="582">
        <f t="shared" si="39"/>
        <v>0</v>
      </c>
      <c r="U111" s="582">
        <f t="shared" si="39"/>
        <v>0</v>
      </c>
      <c r="V111" s="582">
        <f t="shared" si="39"/>
        <v>0</v>
      </c>
      <c r="W111" s="582">
        <f t="shared" si="39"/>
        <v>0</v>
      </c>
      <c r="X111" s="582">
        <f t="shared" si="39"/>
        <v>0</v>
      </c>
      <c r="Y111" s="582">
        <f t="shared" si="39"/>
        <v>1420000000</v>
      </c>
      <c r="Z111" s="582">
        <f t="shared" si="39"/>
        <v>1417500000</v>
      </c>
      <c r="AA111" s="582">
        <f t="shared" si="39"/>
        <v>42500000</v>
      </c>
      <c r="AB111" s="582">
        <f t="shared" si="39"/>
        <v>42500000</v>
      </c>
      <c r="AC111" s="428"/>
    </row>
    <row r="112" spans="1:29" ht="16.5" thickTop="1" thickBot="1">
      <c r="A112" s="432">
        <v>2</v>
      </c>
      <c r="B112" s="432" t="s">
        <v>854</v>
      </c>
      <c r="C112" s="432" t="s">
        <v>1081</v>
      </c>
      <c r="D112" s="432" t="s">
        <v>839</v>
      </c>
      <c r="E112" s="433" t="s">
        <v>839</v>
      </c>
      <c r="F112" s="433" t="s">
        <v>839</v>
      </c>
      <c r="G112" s="433" t="s">
        <v>839</v>
      </c>
      <c r="H112" s="448" t="s">
        <v>1337</v>
      </c>
      <c r="I112" s="582">
        <v>1420000000</v>
      </c>
      <c r="J112" s="582">
        <v>1417500000</v>
      </c>
      <c r="K112" s="582">
        <v>42500000</v>
      </c>
      <c r="L112" s="582">
        <v>42500000</v>
      </c>
      <c r="M112" s="582"/>
      <c r="N112" s="582"/>
      <c r="O112" s="582"/>
      <c r="P112" s="582"/>
      <c r="Q112" s="582"/>
      <c r="R112" s="582"/>
      <c r="S112" s="582"/>
      <c r="T112" s="582"/>
      <c r="U112" s="582"/>
      <c r="V112" s="582"/>
      <c r="W112" s="582"/>
      <c r="X112" s="582"/>
      <c r="Y112" s="582">
        <f>+I112+M112+Q112+U112</f>
        <v>1420000000</v>
      </c>
      <c r="Z112" s="582">
        <f>+J112+N112+R112+V112</f>
        <v>1417500000</v>
      </c>
      <c r="AA112" s="582">
        <f>+K112+O112+S112+W112</f>
        <v>42500000</v>
      </c>
      <c r="AB112" s="582">
        <f>+L112+P112+T112+X112</f>
        <v>42500000</v>
      </c>
      <c r="AC112" s="428"/>
    </row>
    <row r="113" spans="1:29" ht="16.5" thickTop="1" thickBot="1">
      <c r="A113" s="443">
        <v>2</v>
      </c>
      <c r="B113" s="443" t="s">
        <v>854</v>
      </c>
      <c r="C113" s="443" t="s">
        <v>1081</v>
      </c>
      <c r="D113" s="443" t="s">
        <v>852</v>
      </c>
      <c r="E113" s="443"/>
      <c r="F113" s="443"/>
      <c r="G113" s="443"/>
      <c r="H113" s="447" t="s">
        <v>1359</v>
      </c>
      <c r="I113" s="588">
        <f>+I114</f>
        <v>550000000</v>
      </c>
      <c r="J113" s="588">
        <f t="shared" ref="J113:AB115" si="40">+J114</f>
        <v>450000000</v>
      </c>
      <c r="K113" s="588">
        <f t="shared" si="40"/>
        <v>450000000</v>
      </c>
      <c r="L113" s="588">
        <f t="shared" si="40"/>
        <v>237500000</v>
      </c>
      <c r="M113" s="588">
        <f t="shared" si="40"/>
        <v>0</v>
      </c>
      <c r="N113" s="588">
        <f t="shared" si="40"/>
        <v>0</v>
      </c>
      <c r="O113" s="588">
        <f t="shared" si="40"/>
        <v>0</v>
      </c>
      <c r="P113" s="588">
        <f t="shared" si="40"/>
        <v>0</v>
      </c>
      <c r="Q113" s="588">
        <f t="shared" si="40"/>
        <v>0</v>
      </c>
      <c r="R113" s="588">
        <f t="shared" si="40"/>
        <v>0</v>
      </c>
      <c r="S113" s="588">
        <f t="shared" si="40"/>
        <v>0</v>
      </c>
      <c r="T113" s="588">
        <f t="shared" si="40"/>
        <v>0</v>
      </c>
      <c r="U113" s="588">
        <f t="shared" si="40"/>
        <v>0</v>
      </c>
      <c r="V113" s="588">
        <f t="shared" si="40"/>
        <v>0</v>
      </c>
      <c r="W113" s="588">
        <f t="shared" si="40"/>
        <v>0</v>
      </c>
      <c r="X113" s="588">
        <f t="shared" si="40"/>
        <v>0</v>
      </c>
      <c r="Y113" s="588">
        <f t="shared" si="40"/>
        <v>550000000</v>
      </c>
      <c r="Z113" s="588">
        <f t="shared" si="40"/>
        <v>450000000</v>
      </c>
      <c r="AA113" s="588">
        <f t="shared" si="40"/>
        <v>450000000</v>
      </c>
      <c r="AB113" s="588">
        <f t="shared" si="40"/>
        <v>237500000</v>
      </c>
      <c r="AC113" s="428"/>
    </row>
    <row r="114" spans="1:29" ht="16.5" thickTop="1" thickBot="1">
      <c r="A114" s="443">
        <v>3</v>
      </c>
      <c r="B114" s="443" t="s">
        <v>854</v>
      </c>
      <c r="C114" s="443" t="s">
        <v>1081</v>
      </c>
      <c r="D114" s="443" t="s">
        <v>852</v>
      </c>
      <c r="E114" s="443" t="s">
        <v>839</v>
      </c>
      <c r="F114" s="443"/>
      <c r="G114" s="443"/>
      <c r="H114" s="447" t="s">
        <v>1342</v>
      </c>
      <c r="I114" s="588">
        <f>+I115</f>
        <v>550000000</v>
      </c>
      <c r="J114" s="588">
        <f t="shared" si="40"/>
        <v>450000000</v>
      </c>
      <c r="K114" s="588">
        <f t="shared" si="40"/>
        <v>450000000</v>
      </c>
      <c r="L114" s="588">
        <f t="shared" si="40"/>
        <v>237500000</v>
      </c>
      <c r="M114" s="588">
        <f t="shared" si="40"/>
        <v>0</v>
      </c>
      <c r="N114" s="588">
        <f t="shared" si="40"/>
        <v>0</v>
      </c>
      <c r="O114" s="588">
        <f t="shared" si="40"/>
        <v>0</v>
      </c>
      <c r="P114" s="588">
        <f t="shared" si="40"/>
        <v>0</v>
      </c>
      <c r="Q114" s="588">
        <f t="shared" si="40"/>
        <v>0</v>
      </c>
      <c r="R114" s="588">
        <f t="shared" si="40"/>
        <v>0</v>
      </c>
      <c r="S114" s="588">
        <f t="shared" si="40"/>
        <v>0</v>
      </c>
      <c r="T114" s="588">
        <f t="shared" si="40"/>
        <v>0</v>
      </c>
      <c r="U114" s="588">
        <f t="shared" si="40"/>
        <v>0</v>
      </c>
      <c r="V114" s="588">
        <f t="shared" si="40"/>
        <v>0</v>
      </c>
      <c r="W114" s="588">
        <f t="shared" si="40"/>
        <v>0</v>
      </c>
      <c r="X114" s="588">
        <f t="shared" si="40"/>
        <v>0</v>
      </c>
      <c r="Y114" s="588">
        <f t="shared" si="40"/>
        <v>550000000</v>
      </c>
      <c r="Z114" s="588">
        <f t="shared" si="40"/>
        <v>450000000</v>
      </c>
      <c r="AA114" s="588">
        <f t="shared" si="40"/>
        <v>450000000</v>
      </c>
      <c r="AB114" s="588">
        <f t="shared" si="40"/>
        <v>237500000</v>
      </c>
      <c r="AC114" s="428"/>
    </row>
    <row r="115" spans="1:29" ht="16.5" thickTop="1" thickBot="1">
      <c r="A115" s="432">
        <v>2</v>
      </c>
      <c r="B115" s="432" t="s">
        <v>854</v>
      </c>
      <c r="C115" s="433" t="s">
        <v>1081</v>
      </c>
      <c r="D115" s="433" t="s">
        <v>852</v>
      </c>
      <c r="E115" s="433" t="s">
        <v>839</v>
      </c>
      <c r="F115" s="433" t="s">
        <v>839</v>
      </c>
      <c r="G115" s="432"/>
      <c r="H115" s="448" t="s">
        <v>1336</v>
      </c>
      <c r="I115" s="582">
        <f>+I116</f>
        <v>550000000</v>
      </c>
      <c r="J115" s="582">
        <f t="shared" si="40"/>
        <v>450000000</v>
      </c>
      <c r="K115" s="582">
        <f t="shared" si="40"/>
        <v>450000000</v>
      </c>
      <c r="L115" s="582">
        <f t="shared" si="40"/>
        <v>237500000</v>
      </c>
      <c r="M115" s="582">
        <f t="shared" si="40"/>
        <v>0</v>
      </c>
      <c r="N115" s="582">
        <f t="shared" si="40"/>
        <v>0</v>
      </c>
      <c r="O115" s="582">
        <f t="shared" si="40"/>
        <v>0</v>
      </c>
      <c r="P115" s="582">
        <f t="shared" si="40"/>
        <v>0</v>
      </c>
      <c r="Q115" s="582">
        <f t="shared" si="40"/>
        <v>0</v>
      </c>
      <c r="R115" s="582">
        <f t="shared" si="40"/>
        <v>0</v>
      </c>
      <c r="S115" s="582">
        <f t="shared" si="40"/>
        <v>0</v>
      </c>
      <c r="T115" s="582">
        <f t="shared" si="40"/>
        <v>0</v>
      </c>
      <c r="U115" s="582">
        <f t="shared" si="40"/>
        <v>0</v>
      </c>
      <c r="V115" s="582">
        <f t="shared" si="40"/>
        <v>0</v>
      </c>
      <c r="W115" s="582">
        <f t="shared" si="40"/>
        <v>0</v>
      </c>
      <c r="X115" s="582">
        <f t="shared" si="40"/>
        <v>0</v>
      </c>
      <c r="Y115" s="582">
        <f t="shared" si="40"/>
        <v>550000000</v>
      </c>
      <c r="Z115" s="582">
        <f t="shared" si="40"/>
        <v>450000000</v>
      </c>
      <c r="AA115" s="582">
        <f t="shared" si="40"/>
        <v>450000000</v>
      </c>
      <c r="AB115" s="582">
        <f t="shared" si="40"/>
        <v>237500000</v>
      </c>
      <c r="AC115" s="428"/>
    </row>
    <row r="116" spans="1:29" ht="16.5" thickTop="1" thickBot="1">
      <c r="A116" s="432">
        <v>2</v>
      </c>
      <c r="B116" s="432" t="s">
        <v>854</v>
      </c>
      <c r="C116" s="433" t="s">
        <v>1081</v>
      </c>
      <c r="D116" s="433" t="s">
        <v>852</v>
      </c>
      <c r="E116" s="433" t="s">
        <v>839</v>
      </c>
      <c r="F116" s="433" t="s">
        <v>839</v>
      </c>
      <c r="G116" s="433" t="s">
        <v>839</v>
      </c>
      <c r="H116" s="448" t="s">
        <v>1337</v>
      </c>
      <c r="I116" s="582">
        <v>550000000</v>
      </c>
      <c r="J116" s="582">
        <v>450000000</v>
      </c>
      <c r="K116" s="582">
        <v>450000000</v>
      </c>
      <c r="L116" s="582">
        <v>237500000</v>
      </c>
      <c r="M116" s="582"/>
      <c r="N116" s="582"/>
      <c r="O116" s="582"/>
      <c r="P116" s="582"/>
      <c r="Q116" s="582"/>
      <c r="R116" s="582"/>
      <c r="S116" s="582"/>
      <c r="T116" s="582"/>
      <c r="U116" s="582"/>
      <c r="V116" s="582"/>
      <c r="W116" s="582"/>
      <c r="X116" s="582"/>
      <c r="Y116" s="582">
        <f>+I116+M116+Q116+U116</f>
        <v>550000000</v>
      </c>
      <c r="Z116" s="582">
        <f>+J116+N116+R116+V116</f>
        <v>450000000</v>
      </c>
      <c r="AA116" s="582">
        <f>+K116+O116+S116+W116</f>
        <v>450000000</v>
      </c>
      <c r="AB116" s="582">
        <f>+L116+P116+T116+X116</f>
        <v>237500000</v>
      </c>
      <c r="AC116" s="428"/>
    </row>
    <row r="117" spans="1:29" ht="16.5" thickTop="1" thickBot="1">
      <c r="A117" s="443">
        <v>2</v>
      </c>
      <c r="B117" s="443" t="s">
        <v>854</v>
      </c>
      <c r="C117" s="443" t="s">
        <v>1081</v>
      </c>
      <c r="D117" s="443" t="s">
        <v>854</v>
      </c>
      <c r="E117" s="443"/>
      <c r="F117" s="443"/>
      <c r="G117" s="443"/>
      <c r="H117" s="447" t="s">
        <v>1360</v>
      </c>
      <c r="I117" s="588">
        <f>+I118</f>
        <v>1067160427</v>
      </c>
      <c r="J117" s="588">
        <f t="shared" ref="J117:AB119" si="41">+J118</f>
        <v>213135000</v>
      </c>
      <c r="K117" s="588">
        <f t="shared" si="41"/>
        <v>102200000</v>
      </c>
      <c r="L117" s="588">
        <f t="shared" si="41"/>
        <v>102200000</v>
      </c>
      <c r="M117" s="588">
        <f t="shared" si="41"/>
        <v>0</v>
      </c>
      <c r="N117" s="588">
        <f t="shared" si="41"/>
        <v>0</v>
      </c>
      <c r="O117" s="588">
        <f t="shared" si="41"/>
        <v>0</v>
      </c>
      <c r="P117" s="588">
        <f t="shared" si="41"/>
        <v>0</v>
      </c>
      <c r="Q117" s="588">
        <f t="shared" si="41"/>
        <v>0</v>
      </c>
      <c r="R117" s="588">
        <f t="shared" si="41"/>
        <v>0</v>
      </c>
      <c r="S117" s="588">
        <f t="shared" si="41"/>
        <v>0</v>
      </c>
      <c r="T117" s="588">
        <f t="shared" si="41"/>
        <v>0</v>
      </c>
      <c r="U117" s="588">
        <f t="shared" si="41"/>
        <v>0</v>
      </c>
      <c r="V117" s="588">
        <f t="shared" si="41"/>
        <v>0</v>
      </c>
      <c r="W117" s="588">
        <f t="shared" si="41"/>
        <v>0</v>
      </c>
      <c r="X117" s="588">
        <f t="shared" si="41"/>
        <v>0</v>
      </c>
      <c r="Y117" s="588">
        <f t="shared" si="41"/>
        <v>1067160427</v>
      </c>
      <c r="Z117" s="588">
        <f t="shared" si="41"/>
        <v>213135000</v>
      </c>
      <c r="AA117" s="588">
        <f t="shared" si="41"/>
        <v>102200000</v>
      </c>
      <c r="AB117" s="588">
        <f t="shared" si="41"/>
        <v>102200000</v>
      </c>
      <c r="AC117" s="428"/>
    </row>
    <row r="118" spans="1:29" ht="16.5" thickTop="1" thickBot="1">
      <c r="A118" s="443">
        <v>3</v>
      </c>
      <c r="B118" s="443" t="s">
        <v>854</v>
      </c>
      <c r="C118" s="443" t="s">
        <v>1081</v>
      </c>
      <c r="D118" s="443" t="s">
        <v>854</v>
      </c>
      <c r="E118" s="443" t="s">
        <v>839</v>
      </c>
      <c r="F118" s="443"/>
      <c r="G118" s="443"/>
      <c r="H118" s="447" t="s">
        <v>1342</v>
      </c>
      <c r="I118" s="588">
        <f>+I119</f>
        <v>1067160427</v>
      </c>
      <c r="J118" s="588">
        <f t="shared" si="41"/>
        <v>213135000</v>
      </c>
      <c r="K118" s="588">
        <f t="shared" si="41"/>
        <v>102200000</v>
      </c>
      <c r="L118" s="588">
        <f t="shared" si="41"/>
        <v>102200000</v>
      </c>
      <c r="M118" s="588">
        <f t="shared" si="41"/>
        <v>0</v>
      </c>
      <c r="N118" s="588">
        <f t="shared" si="41"/>
        <v>0</v>
      </c>
      <c r="O118" s="588">
        <f t="shared" si="41"/>
        <v>0</v>
      </c>
      <c r="P118" s="588">
        <f t="shared" si="41"/>
        <v>0</v>
      </c>
      <c r="Q118" s="588">
        <f t="shared" si="41"/>
        <v>0</v>
      </c>
      <c r="R118" s="588">
        <f t="shared" si="41"/>
        <v>0</v>
      </c>
      <c r="S118" s="588">
        <f t="shared" si="41"/>
        <v>0</v>
      </c>
      <c r="T118" s="588">
        <f t="shared" si="41"/>
        <v>0</v>
      </c>
      <c r="U118" s="588">
        <f t="shared" si="41"/>
        <v>0</v>
      </c>
      <c r="V118" s="588">
        <f t="shared" si="41"/>
        <v>0</v>
      </c>
      <c r="W118" s="588">
        <f t="shared" si="41"/>
        <v>0</v>
      </c>
      <c r="X118" s="588">
        <f t="shared" si="41"/>
        <v>0</v>
      </c>
      <c r="Y118" s="588">
        <f t="shared" si="41"/>
        <v>1067160427</v>
      </c>
      <c r="Z118" s="588">
        <f t="shared" si="41"/>
        <v>213135000</v>
      </c>
      <c r="AA118" s="588">
        <f t="shared" si="41"/>
        <v>102200000</v>
      </c>
      <c r="AB118" s="588">
        <f t="shared" si="41"/>
        <v>102200000</v>
      </c>
      <c r="AC118" s="428"/>
    </row>
    <row r="119" spans="1:29" ht="16.5" thickTop="1" thickBot="1">
      <c r="A119" s="432">
        <v>2</v>
      </c>
      <c r="B119" s="432" t="s">
        <v>854</v>
      </c>
      <c r="C119" s="433" t="s">
        <v>1081</v>
      </c>
      <c r="D119" s="433" t="s">
        <v>854</v>
      </c>
      <c r="E119" s="433" t="s">
        <v>839</v>
      </c>
      <c r="F119" s="433" t="s">
        <v>839</v>
      </c>
      <c r="G119" s="432"/>
      <c r="H119" s="448" t="s">
        <v>1336</v>
      </c>
      <c r="I119" s="582">
        <f>+I120</f>
        <v>1067160427</v>
      </c>
      <c r="J119" s="582">
        <f t="shared" si="41"/>
        <v>213135000</v>
      </c>
      <c r="K119" s="582">
        <f t="shared" si="41"/>
        <v>102200000</v>
      </c>
      <c r="L119" s="582">
        <f t="shared" si="41"/>
        <v>102200000</v>
      </c>
      <c r="M119" s="582">
        <f t="shared" si="41"/>
        <v>0</v>
      </c>
      <c r="N119" s="582">
        <f t="shared" si="41"/>
        <v>0</v>
      </c>
      <c r="O119" s="582">
        <f t="shared" si="41"/>
        <v>0</v>
      </c>
      <c r="P119" s="582">
        <f t="shared" si="41"/>
        <v>0</v>
      </c>
      <c r="Q119" s="582">
        <f t="shared" si="41"/>
        <v>0</v>
      </c>
      <c r="R119" s="582">
        <f t="shared" si="41"/>
        <v>0</v>
      </c>
      <c r="S119" s="582">
        <f t="shared" si="41"/>
        <v>0</v>
      </c>
      <c r="T119" s="582">
        <f t="shared" si="41"/>
        <v>0</v>
      </c>
      <c r="U119" s="582">
        <f t="shared" si="41"/>
        <v>0</v>
      </c>
      <c r="V119" s="582">
        <f t="shared" si="41"/>
        <v>0</v>
      </c>
      <c r="W119" s="582">
        <f t="shared" si="41"/>
        <v>0</v>
      </c>
      <c r="X119" s="582">
        <f t="shared" si="41"/>
        <v>0</v>
      </c>
      <c r="Y119" s="582">
        <f t="shared" si="41"/>
        <v>1067160427</v>
      </c>
      <c r="Z119" s="582">
        <f t="shared" si="41"/>
        <v>213135000</v>
      </c>
      <c r="AA119" s="582">
        <f t="shared" si="41"/>
        <v>102200000</v>
      </c>
      <c r="AB119" s="582">
        <f t="shared" si="41"/>
        <v>102200000</v>
      </c>
      <c r="AC119" s="428"/>
    </row>
    <row r="120" spans="1:29" ht="16.5" thickTop="1" thickBot="1">
      <c r="A120" s="432">
        <v>2</v>
      </c>
      <c r="B120" s="432" t="s">
        <v>854</v>
      </c>
      <c r="C120" s="433" t="s">
        <v>1081</v>
      </c>
      <c r="D120" s="433" t="s">
        <v>854</v>
      </c>
      <c r="E120" s="433" t="s">
        <v>839</v>
      </c>
      <c r="F120" s="433" t="s">
        <v>839</v>
      </c>
      <c r="G120" s="433" t="s">
        <v>839</v>
      </c>
      <c r="H120" s="448" t="s">
        <v>1337</v>
      </c>
      <c r="I120" s="582">
        <v>1067160427</v>
      </c>
      <c r="J120" s="582">
        <v>213135000</v>
      </c>
      <c r="K120" s="582">
        <v>102200000</v>
      </c>
      <c r="L120" s="582">
        <v>102200000</v>
      </c>
      <c r="M120" s="582"/>
      <c r="N120" s="582"/>
      <c r="O120" s="582"/>
      <c r="P120" s="582"/>
      <c r="Q120" s="582"/>
      <c r="R120" s="582"/>
      <c r="S120" s="582"/>
      <c r="T120" s="582"/>
      <c r="U120" s="582"/>
      <c r="V120" s="582"/>
      <c r="W120" s="582"/>
      <c r="X120" s="582"/>
      <c r="Y120" s="582">
        <f>+I120+M120+Q120+U120</f>
        <v>1067160427</v>
      </c>
      <c r="Z120" s="582">
        <f>+J120+N120+R120+V120</f>
        <v>213135000</v>
      </c>
      <c r="AA120" s="582">
        <f>+K120+O120+S120+W120</f>
        <v>102200000</v>
      </c>
      <c r="AB120" s="582">
        <f>+L120+P120+T120+X120</f>
        <v>102200000</v>
      </c>
      <c r="AC120" s="428"/>
    </row>
    <row r="121" spans="1:29" ht="16.5" thickTop="1" thickBot="1">
      <c r="A121" s="445">
        <v>2</v>
      </c>
      <c r="B121" s="429" t="s">
        <v>854</v>
      </c>
      <c r="C121" s="429" t="s">
        <v>1083</v>
      </c>
      <c r="D121" s="429"/>
      <c r="E121" s="445"/>
      <c r="F121" s="445"/>
      <c r="G121" s="445"/>
      <c r="H121" s="446" t="s">
        <v>1361</v>
      </c>
      <c r="I121" s="592">
        <f>+I122+I126+I130+I134</f>
        <v>4015000000</v>
      </c>
      <c r="J121" s="592">
        <f t="shared" ref="J121:AB121" si="42">+J122+J126+J130+J134</f>
        <v>1058500000</v>
      </c>
      <c r="K121" s="592">
        <f t="shared" si="42"/>
        <v>196250000</v>
      </c>
      <c r="L121" s="592">
        <f t="shared" si="42"/>
        <v>178850000</v>
      </c>
      <c r="M121" s="592">
        <f t="shared" si="42"/>
        <v>0</v>
      </c>
      <c r="N121" s="592">
        <f t="shared" si="42"/>
        <v>0</v>
      </c>
      <c r="O121" s="592">
        <f t="shared" si="42"/>
        <v>0</v>
      </c>
      <c r="P121" s="592">
        <f t="shared" si="42"/>
        <v>0</v>
      </c>
      <c r="Q121" s="592">
        <f t="shared" si="42"/>
        <v>0</v>
      </c>
      <c r="R121" s="592">
        <f t="shared" si="42"/>
        <v>0</v>
      </c>
      <c r="S121" s="592">
        <f t="shared" si="42"/>
        <v>0</v>
      </c>
      <c r="T121" s="592">
        <f t="shared" si="42"/>
        <v>0</v>
      </c>
      <c r="U121" s="592">
        <f t="shared" si="42"/>
        <v>0</v>
      </c>
      <c r="V121" s="592">
        <f t="shared" si="42"/>
        <v>0</v>
      </c>
      <c r="W121" s="592">
        <f t="shared" si="42"/>
        <v>0</v>
      </c>
      <c r="X121" s="592">
        <f t="shared" si="42"/>
        <v>0</v>
      </c>
      <c r="Y121" s="592">
        <f t="shared" si="42"/>
        <v>4015000000</v>
      </c>
      <c r="Z121" s="592">
        <f t="shared" si="42"/>
        <v>1058500000</v>
      </c>
      <c r="AA121" s="592">
        <f t="shared" si="42"/>
        <v>196250000</v>
      </c>
      <c r="AB121" s="592">
        <f t="shared" si="42"/>
        <v>178850000</v>
      </c>
      <c r="AC121" s="428"/>
    </row>
    <row r="122" spans="1:29" ht="16.5" thickTop="1" thickBot="1">
      <c r="A122" s="443">
        <v>2</v>
      </c>
      <c r="B122" s="443" t="s">
        <v>854</v>
      </c>
      <c r="C122" s="443" t="s">
        <v>1083</v>
      </c>
      <c r="D122" s="443" t="s">
        <v>839</v>
      </c>
      <c r="E122" s="443"/>
      <c r="F122" s="443"/>
      <c r="G122" s="443"/>
      <c r="H122" s="447" t="s">
        <v>1362</v>
      </c>
      <c r="I122" s="588">
        <f>+I123</f>
        <v>2270000000</v>
      </c>
      <c r="J122" s="588">
        <f t="shared" ref="J122:AB124" si="43">+J123</f>
        <v>59000000</v>
      </c>
      <c r="K122" s="588">
        <f t="shared" si="43"/>
        <v>39000000</v>
      </c>
      <c r="L122" s="588">
        <f t="shared" si="43"/>
        <v>33600000</v>
      </c>
      <c r="M122" s="588">
        <f t="shared" si="43"/>
        <v>0</v>
      </c>
      <c r="N122" s="588">
        <f t="shared" si="43"/>
        <v>0</v>
      </c>
      <c r="O122" s="588">
        <f t="shared" si="43"/>
        <v>0</v>
      </c>
      <c r="P122" s="588">
        <f t="shared" si="43"/>
        <v>0</v>
      </c>
      <c r="Q122" s="588">
        <f t="shared" si="43"/>
        <v>0</v>
      </c>
      <c r="R122" s="588">
        <f t="shared" si="43"/>
        <v>0</v>
      </c>
      <c r="S122" s="588">
        <f t="shared" si="43"/>
        <v>0</v>
      </c>
      <c r="T122" s="588">
        <f t="shared" si="43"/>
        <v>0</v>
      </c>
      <c r="U122" s="588">
        <f t="shared" si="43"/>
        <v>0</v>
      </c>
      <c r="V122" s="588">
        <f t="shared" si="43"/>
        <v>0</v>
      </c>
      <c r="W122" s="588">
        <f t="shared" si="43"/>
        <v>0</v>
      </c>
      <c r="X122" s="588">
        <f t="shared" si="43"/>
        <v>0</v>
      </c>
      <c r="Y122" s="588">
        <f t="shared" si="43"/>
        <v>2270000000</v>
      </c>
      <c r="Z122" s="588">
        <f t="shared" si="43"/>
        <v>59000000</v>
      </c>
      <c r="AA122" s="588">
        <f t="shared" si="43"/>
        <v>39000000</v>
      </c>
      <c r="AB122" s="588">
        <f t="shared" si="43"/>
        <v>33600000</v>
      </c>
      <c r="AC122" s="428"/>
    </row>
    <row r="123" spans="1:29" ht="16.5" thickTop="1" thickBot="1">
      <c r="A123" s="443">
        <v>3</v>
      </c>
      <c r="B123" s="443" t="s">
        <v>854</v>
      </c>
      <c r="C123" s="443" t="s">
        <v>1083</v>
      </c>
      <c r="D123" s="443" t="s">
        <v>839</v>
      </c>
      <c r="E123" s="443" t="s">
        <v>839</v>
      </c>
      <c r="F123" s="443"/>
      <c r="G123" s="443"/>
      <c r="H123" s="447" t="s">
        <v>1342</v>
      </c>
      <c r="I123" s="588">
        <f>+I124</f>
        <v>2270000000</v>
      </c>
      <c r="J123" s="588">
        <f t="shared" si="43"/>
        <v>59000000</v>
      </c>
      <c r="K123" s="588">
        <f t="shared" si="43"/>
        <v>39000000</v>
      </c>
      <c r="L123" s="588">
        <f t="shared" si="43"/>
        <v>33600000</v>
      </c>
      <c r="M123" s="588">
        <f t="shared" si="43"/>
        <v>0</v>
      </c>
      <c r="N123" s="588">
        <f t="shared" si="43"/>
        <v>0</v>
      </c>
      <c r="O123" s="588">
        <f t="shared" si="43"/>
        <v>0</v>
      </c>
      <c r="P123" s="588">
        <f t="shared" si="43"/>
        <v>0</v>
      </c>
      <c r="Q123" s="588">
        <f t="shared" si="43"/>
        <v>0</v>
      </c>
      <c r="R123" s="588">
        <f t="shared" si="43"/>
        <v>0</v>
      </c>
      <c r="S123" s="588">
        <f t="shared" si="43"/>
        <v>0</v>
      </c>
      <c r="T123" s="588">
        <f t="shared" si="43"/>
        <v>0</v>
      </c>
      <c r="U123" s="588">
        <f t="shared" si="43"/>
        <v>0</v>
      </c>
      <c r="V123" s="588">
        <f t="shared" si="43"/>
        <v>0</v>
      </c>
      <c r="W123" s="588">
        <f t="shared" si="43"/>
        <v>0</v>
      </c>
      <c r="X123" s="588">
        <f t="shared" si="43"/>
        <v>0</v>
      </c>
      <c r="Y123" s="588">
        <f t="shared" si="43"/>
        <v>2270000000</v>
      </c>
      <c r="Z123" s="588">
        <f t="shared" si="43"/>
        <v>59000000</v>
      </c>
      <c r="AA123" s="588">
        <f t="shared" si="43"/>
        <v>39000000</v>
      </c>
      <c r="AB123" s="588">
        <f t="shared" si="43"/>
        <v>33600000</v>
      </c>
      <c r="AC123" s="428"/>
    </row>
    <row r="124" spans="1:29" ht="16.5" thickTop="1" thickBot="1">
      <c r="A124" s="432">
        <v>2</v>
      </c>
      <c r="B124" s="432" t="s">
        <v>854</v>
      </c>
      <c r="C124" s="433" t="s">
        <v>1083</v>
      </c>
      <c r="D124" s="433" t="s">
        <v>839</v>
      </c>
      <c r="E124" s="433" t="s">
        <v>839</v>
      </c>
      <c r="F124" s="433" t="s">
        <v>839</v>
      </c>
      <c r="G124" s="432"/>
      <c r="H124" s="448" t="s">
        <v>1336</v>
      </c>
      <c r="I124" s="582">
        <f>+I125</f>
        <v>2270000000</v>
      </c>
      <c r="J124" s="582">
        <f t="shared" si="43"/>
        <v>59000000</v>
      </c>
      <c r="K124" s="582">
        <f t="shared" si="43"/>
        <v>39000000</v>
      </c>
      <c r="L124" s="582">
        <f t="shared" si="43"/>
        <v>33600000</v>
      </c>
      <c r="M124" s="582">
        <f t="shared" si="43"/>
        <v>0</v>
      </c>
      <c r="N124" s="582">
        <f t="shared" si="43"/>
        <v>0</v>
      </c>
      <c r="O124" s="582">
        <f t="shared" si="43"/>
        <v>0</v>
      </c>
      <c r="P124" s="582">
        <f t="shared" si="43"/>
        <v>0</v>
      </c>
      <c r="Q124" s="582">
        <f t="shared" si="43"/>
        <v>0</v>
      </c>
      <c r="R124" s="582">
        <f t="shared" si="43"/>
        <v>0</v>
      </c>
      <c r="S124" s="582">
        <f t="shared" si="43"/>
        <v>0</v>
      </c>
      <c r="T124" s="582">
        <f t="shared" si="43"/>
        <v>0</v>
      </c>
      <c r="U124" s="582">
        <f t="shared" si="43"/>
        <v>0</v>
      </c>
      <c r="V124" s="582">
        <f t="shared" si="43"/>
        <v>0</v>
      </c>
      <c r="W124" s="582">
        <f t="shared" si="43"/>
        <v>0</v>
      </c>
      <c r="X124" s="582">
        <f t="shared" si="43"/>
        <v>0</v>
      </c>
      <c r="Y124" s="582">
        <f t="shared" si="43"/>
        <v>2270000000</v>
      </c>
      <c r="Z124" s="582">
        <f t="shared" si="43"/>
        <v>59000000</v>
      </c>
      <c r="AA124" s="582">
        <f t="shared" si="43"/>
        <v>39000000</v>
      </c>
      <c r="AB124" s="582">
        <f t="shared" si="43"/>
        <v>33600000</v>
      </c>
      <c r="AC124" s="428"/>
    </row>
    <row r="125" spans="1:29" ht="16.5" thickTop="1" thickBot="1">
      <c r="A125" s="432">
        <v>2</v>
      </c>
      <c r="B125" s="432" t="s">
        <v>854</v>
      </c>
      <c r="C125" s="432" t="s">
        <v>1083</v>
      </c>
      <c r="D125" s="432" t="s">
        <v>839</v>
      </c>
      <c r="E125" s="433" t="s">
        <v>839</v>
      </c>
      <c r="F125" s="433" t="s">
        <v>839</v>
      </c>
      <c r="G125" s="433" t="s">
        <v>839</v>
      </c>
      <c r="H125" s="448" t="s">
        <v>1337</v>
      </c>
      <c r="I125" s="582">
        <v>2270000000</v>
      </c>
      <c r="J125" s="582">
        <v>59000000</v>
      </c>
      <c r="K125" s="582">
        <v>39000000</v>
      </c>
      <c r="L125" s="582">
        <v>33600000</v>
      </c>
      <c r="M125" s="582"/>
      <c r="N125" s="582"/>
      <c r="O125" s="582"/>
      <c r="P125" s="582"/>
      <c r="Q125" s="582"/>
      <c r="R125" s="582"/>
      <c r="S125" s="582"/>
      <c r="T125" s="582"/>
      <c r="U125" s="582"/>
      <c r="V125" s="582"/>
      <c r="W125" s="582"/>
      <c r="X125" s="582"/>
      <c r="Y125" s="582">
        <f>+I125+M125+Q125+U125</f>
        <v>2270000000</v>
      </c>
      <c r="Z125" s="582">
        <f>+J125+N125+R125+V125</f>
        <v>59000000</v>
      </c>
      <c r="AA125" s="582">
        <f>+K125+O125+S125+W125</f>
        <v>39000000</v>
      </c>
      <c r="AB125" s="582">
        <f>+L125+P125+T125+X125</f>
        <v>33600000</v>
      </c>
      <c r="AC125" s="428"/>
    </row>
    <row r="126" spans="1:29" ht="16.5" thickTop="1" thickBot="1">
      <c r="A126" s="443">
        <v>2</v>
      </c>
      <c r="B126" s="443" t="s">
        <v>854</v>
      </c>
      <c r="C126" s="443" t="s">
        <v>1083</v>
      </c>
      <c r="D126" s="443" t="s">
        <v>852</v>
      </c>
      <c r="E126" s="443"/>
      <c r="F126" s="443"/>
      <c r="G126" s="443"/>
      <c r="H126" s="447" t="s">
        <v>1363</v>
      </c>
      <c r="I126" s="588">
        <f>+I127</f>
        <v>1220000000</v>
      </c>
      <c r="J126" s="588">
        <f t="shared" ref="J126:AB128" si="44">+J127</f>
        <v>874500000</v>
      </c>
      <c r="K126" s="588">
        <f t="shared" si="44"/>
        <v>94500000</v>
      </c>
      <c r="L126" s="588">
        <f t="shared" si="44"/>
        <v>82500000</v>
      </c>
      <c r="M126" s="588">
        <f t="shared" si="44"/>
        <v>0</v>
      </c>
      <c r="N126" s="588">
        <f t="shared" si="44"/>
        <v>0</v>
      </c>
      <c r="O126" s="588">
        <f t="shared" si="44"/>
        <v>0</v>
      </c>
      <c r="P126" s="588">
        <f t="shared" si="44"/>
        <v>0</v>
      </c>
      <c r="Q126" s="588">
        <f t="shared" si="44"/>
        <v>0</v>
      </c>
      <c r="R126" s="588">
        <f t="shared" si="44"/>
        <v>0</v>
      </c>
      <c r="S126" s="588">
        <f t="shared" si="44"/>
        <v>0</v>
      </c>
      <c r="T126" s="588">
        <f t="shared" si="44"/>
        <v>0</v>
      </c>
      <c r="U126" s="588">
        <f t="shared" si="44"/>
        <v>0</v>
      </c>
      <c r="V126" s="588">
        <f t="shared" si="44"/>
        <v>0</v>
      </c>
      <c r="W126" s="588">
        <f t="shared" si="44"/>
        <v>0</v>
      </c>
      <c r="X126" s="588">
        <f t="shared" si="44"/>
        <v>0</v>
      </c>
      <c r="Y126" s="588">
        <f t="shared" si="44"/>
        <v>1220000000</v>
      </c>
      <c r="Z126" s="588">
        <f t="shared" si="44"/>
        <v>874500000</v>
      </c>
      <c r="AA126" s="588">
        <f t="shared" si="44"/>
        <v>94500000</v>
      </c>
      <c r="AB126" s="588">
        <f t="shared" si="44"/>
        <v>82500000</v>
      </c>
      <c r="AC126" s="428"/>
    </row>
    <row r="127" spans="1:29" ht="16.5" thickTop="1" thickBot="1">
      <c r="A127" s="443">
        <v>3</v>
      </c>
      <c r="B127" s="443" t="s">
        <v>854</v>
      </c>
      <c r="C127" s="443" t="s">
        <v>1083</v>
      </c>
      <c r="D127" s="443" t="s">
        <v>852</v>
      </c>
      <c r="E127" s="443" t="s">
        <v>839</v>
      </c>
      <c r="F127" s="443"/>
      <c r="G127" s="443"/>
      <c r="H127" s="447" t="s">
        <v>1342</v>
      </c>
      <c r="I127" s="588">
        <f>+I128</f>
        <v>1220000000</v>
      </c>
      <c r="J127" s="588">
        <f t="shared" si="44"/>
        <v>874500000</v>
      </c>
      <c r="K127" s="588">
        <f t="shared" si="44"/>
        <v>94500000</v>
      </c>
      <c r="L127" s="588">
        <f t="shared" si="44"/>
        <v>82500000</v>
      </c>
      <c r="M127" s="588">
        <f t="shared" si="44"/>
        <v>0</v>
      </c>
      <c r="N127" s="588">
        <f t="shared" si="44"/>
        <v>0</v>
      </c>
      <c r="O127" s="588">
        <f t="shared" si="44"/>
        <v>0</v>
      </c>
      <c r="P127" s="588">
        <f t="shared" si="44"/>
        <v>0</v>
      </c>
      <c r="Q127" s="588">
        <f t="shared" si="44"/>
        <v>0</v>
      </c>
      <c r="R127" s="588">
        <f t="shared" si="44"/>
        <v>0</v>
      </c>
      <c r="S127" s="588">
        <f t="shared" si="44"/>
        <v>0</v>
      </c>
      <c r="T127" s="588">
        <f t="shared" si="44"/>
        <v>0</v>
      </c>
      <c r="U127" s="588">
        <f t="shared" si="44"/>
        <v>0</v>
      </c>
      <c r="V127" s="588">
        <f t="shared" si="44"/>
        <v>0</v>
      </c>
      <c r="W127" s="588">
        <f t="shared" si="44"/>
        <v>0</v>
      </c>
      <c r="X127" s="588">
        <f t="shared" si="44"/>
        <v>0</v>
      </c>
      <c r="Y127" s="588">
        <f t="shared" si="44"/>
        <v>1220000000</v>
      </c>
      <c r="Z127" s="588">
        <f t="shared" si="44"/>
        <v>874500000</v>
      </c>
      <c r="AA127" s="588">
        <f t="shared" si="44"/>
        <v>94500000</v>
      </c>
      <c r="AB127" s="588">
        <f t="shared" si="44"/>
        <v>82500000</v>
      </c>
      <c r="AC127" s="428"/>
    </row>
    <row r="128" spans="1:29" ht="16.5" thickTop="1" thickBot="1">
      <c r="A128" s="432">
        <v>2</v>
      </c>
      <c r="B128" s="432" t="s">
        <v>854</v>
      </c>
      <c r="C128" s="433" t="s">
        <v>1083</v>
      </c>
      <c r="D128" s="433" t="s">
        <v>852</v>
      </c>
      <c r="E128" s="433" t="s">
        <v>839</v>
      </c>
      <c r="F128" s="433" t="s">
        <v>839</v>
      </c>
      <c r="G128" s="432"/>
      <c r="H128" s="448" t="s">
        <v>1336</v>
      </c>
      <c r="I128" s="582">
        <f>+I129</f>
        <v>1220000000</v>
      </c>
      <c r="J128" s="582">
        <f t="shared" si="44"/>
        <v>874500000</v>
      </c>
      <c r="K128" s="582">
        <f t="shared" si="44"/>
        <v>94500000</v>
      </c>
      <c r="L128" s="582">
        <f t="shared" si="44"/>
        <v>82500000</v>
      </c>
      <c r="M128" s="582">
        <f t="shared" si="44"/>
        <v>0</v>
      </c>
      <c r="N128" s="582">
        <f t="shared" si="44"/>
        <v>0</v>
      </c>
      <c r="O128" s="582">
        <f t="shared" si="44"/>
        <v>0</v>
      </c>
      <c r="P128" s="582">
        <f t="shared" si="44"/>
        <v>0</v>
      </c>
      <c r="Q128" s="582">
        <f t="shared" si="44"/>
        <v>0</v>
      </c>
      <c r="R128" s="582">
        <f t="shared" si="44"/>
        <v>0</v>
      </c>
      <c r="S128" s="582">
        <f t="shared" si="44"/>
        <v>0</v>
      </c>
      <c r="T128" s="582">
        <f t="shared" si="44"/>
        <v>0</v>
      </c>
      <c r="U128" s="582">
        <f t="shared" si="44"/>
        <v>0</v>
      </c>
      <c r="V128" s="582">
        <f t="shared" si="44"/>
        <v>0</v>
      </c>
      <c r="W128" s="582">
        <f t="shared" si="44"/>
        <v>0</v>
      </c>
      <c r="X128" s="582">
        <f t="shared" si="44"/>
        <v>0</v>
      </c>
      <c r="Y128" s="582">
        <f t="shared" si="44"/>
        <v>1220000000</v>
      </c>
      <c r="Z128" s="582">
        <f t="shared" si="44"/>
        <v>874500000</v>
      </c>
      <c r="AA128" s="582">
        <f t="shared" si="44"/>
        <v>94500000</v>
      </c>
      <c r="AB128" s="582">
        <f t="shared" si="44"/>
        <v>82500000</v>
      </c>
      <c r="AC128" s="428"/>
    </row>
    <row r="129" spans="1:29" ht="16.5" thickTop="1" thickBot="1">
      <c r="A129" s="432">
        <v>2</v>
      </c>
      <c r="B129" s="432" t="s">
        <v>854</v>
      </c>
      <c r="C129" s="433" t="s">
        <v>1083</v>
      </c>
      <c r="D129" s="433" t="s">
        <v>852</v>
      </c>
      <c r="E129" s="433" t="s">
        <v>839</v>
      </c>
      <c r="F129" s="433" t="s">
        <v>839</v>
      </c>
      <c r="G129" s="433" t="s">
        <v>839</v>
      </c>
      <c r="H129" s="448" t="s">
        <v>1337</v>
      </c>
      <c r="I129" s="582">
        <v>1220000000</v>
      </c>
      <c r="J129" s="582">
        <v>874500000</v>
      </c>
      <c r="K129" s="582">
        <v>94500000</v>
      </c>
      <c r="L129" s="582">
        <v>82500000</v>
      </c>
      <c r="M129" s="582"/>
      <c r="N129" s="582"/>
      <c r="O129" s="582"/>
      <c r="P129" s="582"/>
      <c r="Q129" s="582"/>
      <c r="R129" s="582"/>
      <c r="S129" s="582"/>
      <c r="T129" s="582"/>
      <c r="U129" s="582"/>
      <c r="V129" s="582"/>
      <c r="W129" s="582"/>
      <c r="X129" s="582"/>
      <c r="Y129" s="582">
        <f>+I129+M129+Q129+U129</f>
        <v>1220000000</v>
      </c>
      <c r="Z129" s="582">
        <f>+J129+N129+R129+V129</f>
        <v>874500000</v>
      </c>
      <c r="AA129" s="582">
        <f>+K129+O129+S129+W129</f>
        <v>94500000</v>
      </c>
      <c r="AB129" s="582">
        <f>+L129+P129+T129+X129</f>
        <v>82500000</v>
      </c>
      <c r="AC129" s="428"/>
    </row>
    <row r="130" spans="1:29" ht="16.5" thickTop="1" thickBot="1">
      <c r="A130" s="443">
        <v>2</v>
      </c>
      <c r="B130" s="443" t="s">
        <v>854</v>
      </c>
      <c r="C130" s="443" t="s">
        <v>1083</v>
      </c>
      <c r="D130" s="443" t="s">
        <v>854</v>
      </c>
      <c r="E130" s="443"/>
      <c r="F130" s="443"/>
      <c r="G130" s="443"/>
      <c r="H130" s="447" t="s">
        <v>1364</v>
      </c>
      <c r="I130" s="588">
        <f>+I131</f>
        <v>400000000</v>
      </c>
      <c r="J130" s="588">
        <f t="shared" ref="J130:AB132" si="45">+J131</f>
        <v>0</v>
      </c>
      <c r="K130" s="588">
        <f t="shared" si="45"/>
        <v>0</v>
      </c>
      <c r="L130" s="588">
        <f t="shared" si="45"/>
        <v>0</v>
      </c>
      <c r="M130" s="588">
        <f t="shared" si="45"/>
        <v>0</v>
      </c>
      <c r="N130" s="588">
        <f t="shared" si="45"/>
        <v>0</v>
      </c>
      <c r="O130" s="588">
        <f t="shared" si="45"/>
        <v>0</v>
      </c>
      <c r="P130" s="588">
        <f t="shared" si="45"/>
        <v>0</v>
      </c>
      <c r="Q130" s="588">
        <f t="shared" si="45"/>
        <v>0</v>
      </c>
      <c r="R130" s="588">
        <f t="shared" si="45"/>
        <v>0</v>
      </c>
      <c r="S130" s="588">
        <f t="shared" si="45"/>
        <v>0</v>
      </c>
      <c r="T130" s="588">
        <f t="shared" si="45"/>
        <v>0</v>
      </c>
      <c r="U130" s="588">
        <f t="shared" si="45"/>
        <v>0</v>
      </c>
      <c r="V130" s="588">
        <f t="shared" si="45"/>
        <v>0</v>
      </c>
      <c r="W130" s="588">
        <f t="shared" si="45"/>
        <v>0</v>
      </c>
      <c r="X130" s="588">
        <f t="shared" si="45"/>
        <v>0</v>
      </c>
      <c r="Y130" s="588">
        <f t="shared" si="45"/>
        <v>400000000</v>
      </c>
      <c r="Z130" s="588">
        <f t="shared" si="45"/>
        <v>0</v>
      </c>
      <c r="AA130" s="588">
        <f t="shared" si="45"/>
        <v>0</v>
      </c>
      <c r="AB130" s="588">
        <f t="shared" si="45"/>
        <v>0</v>
      </c>
      <c r="AC130" s="428"/>
    </row>
    <row r="131" spans="1:29" ht="16.5" thickTop="1" thickBot="1">
      <c r="A131" s="443">
        <v>3</v>
      </c>
      <c r="B131" s="443" t="s">
        <v>854</v>
      </c>
      <c r="C131" s="443" t="s">
        <v>1083</v>
      </c>
      <c r="D131" s="443" t="s">
        <v>854</v>
      </c>
      <c r="E131" s="443" t="s">
        <v>839</v>
      </c>
      <c r="F131" s="443"/>
      <c r="G131" s="443"/>
      <c r="H131" s="447" t="s">
        <v>1342</v>
      </c>
      <c r="I131" s="588">
        <f>+I132</f>
        <v>400000000</v>
      </c>
      <c r="J131" s="588">
        <f t="shared" si="45"/>
        <v>0</v>
      </c>
      <c r="K131" s="588">
        <f t="shared" si="45"/>
        <v>0</v>
      </c>
      <c r="L131" s="588">
        <f t="shared" si="45"/>
        <v>0</v>
      </c>
      <c r="M131" s="588">
        <f t="shared" si="45"/>
        <v>0</v>
      </c>
      <c r="N131" s="588">
        <f t="shared" si="45"/>
        <v>0</v>
      </c>
      <c r="O131" s="588">
        <f t="shared" si="45"/>
        <v>0</v>
      </c>
      <c r="P131" s="588">
        <f t="shared" si="45"/>
        <v>0</v>
      </c>
      <c r="Q131" s="588">
        <f t="shared" si="45"/>
        <v>0</v>
      </c>
      <c r="R131" s="588">
        <f t="shared" si="45"/>
        <v>0</v>
      </c>
      <c r="S131" s="588">
        <f t="shared" si="45"/>
        <v>0</v>
      </c>
      <c r="T131" s="588">
        <f t="shared" si="45"/>
        <v>0</v>
      </c>
      <c r="U131" s="588">
        <f t="shared" si="45"/>
        <v>0</v>
      </c>
      <c r="V131" s="588">
        <f t="shared" si="45"/>
        <v>0</v>
      </c>
      <c r="W131" s="588">
        <f t="shared" si="45"/>
        <v>0</v>
      </c>
      <c r="X131" s="588">
        <f t="shared" si="45"/>
        <v>0</v>
      </c>
      <c r="Y131" s="588">
        <f t="shared" si="45"/>
        <v>400000000</v>
      </c>
      <c r="Z131" s="588">
        <f t="shared" si="45"/>
        <v>0</v>
      </c>
      <c r="AA131" s="588">
        <f t="shared" si="45"/>
        <v>0</v>
      </c>
      <c r="AB131" s="588">
        <f t="shared" si="45"/>
        <v>0</v>
      </c>
      <c r="AC131" s="428"/>
    </row>
    <row r="132" spans="1:29" ht="16.5" thickTop="1" thickBot="1">
      <c r="A132" s="432">
        <v>2</v>
      </c>
      <c r="B132" s="432" t="s">
        <v>854</v>
      </c>
      <c r="C132" s="433" t="s">
        <v>1083</v>
      </c>
      <c r="D132" s="433" t="s">
        <v>854</v>
      </c>
      <c r="E132" s="433" t="s">
        <v>839</v>
      </c>
      <c r="F132" s="433" t="s">
        <v>839</v>
      </c>
      <c r="G132" s="432"/>
      <c r="H132" s="448" t="s">
        <v>1336</v>
      </c>
      <c r="I132" s="582">
        <f>+I133</f>
        <v>400000000</v>
      </c>
      <c r="J132" s="582">
        <f t="shared" si="45"/>
        <v>0</v>
      </c>
      <c r="K132" s="582">
        <f t="shared" si="45"/>
        <v>0</v>
      </c>
      <c r="L132" s="582">
        <f t="shared" si="45"/>
        <v>0</v>
      </c>
      <c r="M132" s="582">
        <f t="shared" si="45"/>
        <v>0</v>
      </c>
      <c r="N132" s="582">
        <f t="shared" si="45"/>
        <v>0</v>
      </c>
      <c r="O132" s="582">
        <f t="shared" si="45"/>
        <v>0</v>
      </c>
      <c r="P132" s="582">
        <f t="shared" si="45"/>
        <v>0</v>
      </c>
      <c r="Q132" s="582">
        <f t="shared" si="45"/>
        <v>0</v>
      </c>
      <c r="R132" s="582">
        <f t="shared" si="45"/>
        <v>0</v>
      </c>
      <c r="S132" s="582">
        <f t="shared" si="45"/>
        <v>0</v>
      </c>
      <c r="T132" s="582">
        <f t="shared" si="45"/>
        <v>0</v>
      </c>
      <c r="U132" s="582">
        <f t="shared" si="45"/>
        <v>0</v>
      </c>
      <c r="V132" s="582">
        <f t="shared" si="45"/>
        <v>0</v>
      </c>
      <c r="W132" s="582">
        <f t="shared" si="45"/>
        <v>0</v>
      </c>
      <c r="X132" s="582">
        <f t="shared" si="45"/>
        <v>0</v>
      </c>
      <c r="Y132" s="582">
        <f t="shared" si="45"/>
        <v>400000000</v>
      </c>
      <c r="Z132" s="582">
        <f t="shared" si="45"/>
        <v>0</v>
      </c>
      <c r="AA132" s="582">
        <f t="shared" si="45"/>
        <v>0</v>
      </c>
      <c r="AB132" s="582">
        <f t="shared" si="45"/>
        <v>0</v>
      </c>
      <c r="AC132" s="428"/>
    </row>
    <row r="133" spans="1:29" ht="16.5" thickTop="1" thickBot="1">
      <c r="A133" s="432">
        <v>2</v>
      </c>
      <c r="B133" s="432" t="s">
        <v>854</v>
      </c>
      <c r="C133" s="433" t="s">
        <v>1083</v>
      </c>
      <c r="D133" s="433" t="s">
        <v>854</v>
      </c>
      <c r="E133" s="433" t="s">
        <v>839</v>
      </c>
      <c r="F133" s="433" t="s">
        <v>839</v>
      </c>
      <c r="G133" s="433" t="s">
        <v>839</v>
      </c>
      <c r="H133" s="448" t="s">
        <v>1337</v>
      </c>
      <c r="I133" s="582">
        <v>400000000</v>
      </c>
      <c r="J133" s="582">
        <v>0</v>
      </c>
      <c r="K133" s="582"/>
      <c r="L133" s="582"/>
      <c r="M133" s="582"/>
      <c r="N133" s="582"/>
      <c r="O133" s="582"/>
      <c r="P133" s="582"/>
      <c r="Q133" s="582"/>
      <c r="R133" s="582"/>
      <c r="S133" s="582"/>
      <c r="T133" s="582"/>
      <c r="U133" s="582"/>
      <c r="V133" s="582"/>
      <c r="W133" s="582"/>
      <c r="X133" s="582"/>
      <c r="Y133" s="582">
        <f t="shared" ref="Y133:AB134" si="46">+I133+M133+Q133+U133</f>
        <v>400000000</v>
      </c>
      <c r="Z133" s="582">
        <f t="shared" si="46"/>
        <v>0</v>
      </c>
      <c r="AA133" s="582">
        <f t="shared" si="46"/>
        <v>0</v>
      </c>
      <c r="AB133" s="582">
        <f t="shared" si="46"/>
        <v>0</v>
      </c>
      <c r="AC133" s="428"/>
    </row>
    <row r="134" spans="1:29" ht="16.5" thickTop="1" thickBot="1">
      <c r="A134" s="443">
        <v>2</v>
      </c>
      <c r="B134" s="443" t="s">
        <v>854</v>
      </c>
      <c r="C134" s="443" t="s">
        <v>1083</v>
      </c>
      <c r="D134" s="443" t="s">
        <v>856</v>
      </c>
      <c r="E134" s="443"/>
      <c r="F134" s="443"/>
      <c r="G134" s="443"/>
      <c r="H134" s="447" t="s">
        <v>1365</v>
      </c>
      <c r="I134" s="588">
        <f>+I135</f>
        <v>125000000</v>
      </c>
      <c r="J134" s="588">
        <f t="shared" ref="J134:Z136" si="47">+J135</f>
        <v>125000000</v>
      </c>
      <c r="K134" s="588">
        <f t="shared" si="47"/>
        <v>62750000</v>
      </c>
      <c r="L134" s="588">
        <f t="shared" si="47"/>
        <v>62750000</v>
      </c>
      <c r="M134" s="588">
        <f t="shared" si="47"/>
        <v>0</v>
      </c>
      <c r="N134" s="588">
        <f t="shared" si="47"/>
        <v>0</v>
      </c>
      <c r="O134" s="588">
        <f t="shared" si="47"/>
        <v>0</v>
      </c>
      <c r="P134" s="588">
        <f t="shared" si="47"/>
        <v>0</v>
      </c>
      <c r="Q134" s="588">
        <f t="shared" si="47"/>
        <v>0</v>
      </c>
      <c r="R134" s="588">
        <f t="shared" si="47"/>
        <v>0</v>
      </c>
      <c r="S134" s="588">
        <f t="shared" si="47"/>
        <v>0</v>
      </c>
      <c r="T134" s="588">
        <f t="shared" si="47"/>
        <v>0</v>
      </c>
      <c r="U134" s="588">
        <f t="shared" si="47"/>
        <v>0</v>
      </c>
      <c r="V134" s="588">
        <f t="shared" si="47"/>
        <v>0</v>
      </c>
      <c r="W134" s="588">
        <f t="shared" si="47"/>
        <v>0</v>
      </c>
      <c r="X134" s="588">
        <f t="shared" si="47"/>
        <v>0</v>
      </c>
      <c r="Y134" s="588">
        <f t="shared" si="47"/>
        <v>125000000</v>
      </c>
      <c r="Z134" s="588">
        <f t="shared" si="47"/>
        <v>125000000</v>
      </c>
      <c r="AA134" s="588">
        <f t="shared" si="46"/>
        <v>62750000</v>
      </c>
      <c r="AB134" s="588">
        <f t="shared" si="46"/>
        <v>62750000</v>
      </c>
      <c r="AC134" s="428"/>
    </row>
    <row r="135" spans="1:29" ht="16.5" thickTop="1" thickBot="1">
      <c r="A135" s="443">
        <v>3</v>
      </c>
      <c r="B135" s="443" t="s">
        <v>854</v>
      </c>
      <c r="C135" s="443" t="s">
        <v>1083</v>
      </c>
      <c r="D135" s="443" t="s">
        <v>856</v>
      </c>
      <c r="E135" s="443" t="s">
        <v>839</v>
      </c>
      <c r="F135" s="443"/>
      <c r="G135" s="443"/>
      <c r="H135" s="447" t="s">
        <v>1342</v>
      </c>
      <c r="I135" s="588">
        <f>+I136</f>
        <v>125000000</v>
      </c>
      <c r="J135" s="588">
        <f t="shared" si="47"/>
        <v>125000000</v>
      </c>
      <c r="K135" s="588">
        <f t="shared" si="47"/>
        <v>62750000</v>
      </c>
      <c r="L135" s="588">
        <f t="shared" si="47"/>
        <v>62750000</v>
      </c>
      <c r="M135" s="588">
        <f t="shared" si="47"/>
        <v>0</v>
      </c>
      <c r="N135" s="588">
        <f t="shared" si="47"/>
        <v>0</v>
      </c>
      <c r="O135" s="588">
        <f t="shared" si="47"/>
        <v>0</v>
      </c>
      <c r="P135" s="588">
        <f t="shared" si="47"/>
        <v>0</v>
      </c>
      <c r="Q135" s="588">
        <f t="shared" si="47"/>
        <v>0</v>
      </c>
      <c r="R135" s="588">
        <f t="shared" si="47"/>
        <v>0</v>
      </c>
      <c r="S135" s="588">
        <f t="shared" si="47"/>
        <v>0</v>
      </c>
      <c r="T135" s="588">
        <f t="shared" si="47"/>
        <v>0</v>
      </c>
      <c r="U135" s="588">
        <f t="shared" si="47"/>
        <v>0</v>
      </c>
      <c r="V135" s="588">
        <f t="shared" si="47"/>
        <v>0</v>
      </c>
      <c r="W135" s="588">
        <f t="shared" si="47"/>
        <v>0</v>
      </c>
      <c r="X135" s="588">
        <f t="shared" si="47"/>
        <v>0</v>
      </c>
      <c r="Y135" s="588">
        <f t="shared" si="47"/>
        <v>125000000</v>
      </c>
      <c r="Z135" s="588">
        <f t="shared" si="47"/>
        <v>125000000</v>
      </c>
      <c r="AA135" s="588"/>
      <c r="AB135" s="588"/>
      <c r="AC135" s="428"/>
    </row>
    <row r="136" spans="1:29" ht="16.5" thickTop="1" thickBot="1">
      <c r="A136" s="432">
        <v>2</v>
      </c>
      <c r="B136" s="432" t="s">
        <v>854</v>
      </c>
      <c r="C136" s="433" t="s">
        <v>1083</v>
      </c>
      <c r="D136" s="433" t="s">
        <v>856</v>
      </c>
      <c r="E136" s="433" t="s">
        <v>839</v>
      </c>
      <c r="F136" s="433" t="s">
        <v>839</v>
      </c>
      <c r="G136" s="432"/>
      <c r="H136" s="448" t="s">
        <v>1336</v>
      </c>
      <c r="I136" s="582">
        <f>+I137</f>
        <v>125000000</v>
      </c>
      <c r="J136" s="582">
        <f t="shared" si="47"/>
        <v>125000000</v>
      </c>
      <c r="K136" s="582">
        <f t="shared" si="47"/>
        <v>62750000</v>
      </c>
      <c r="L136" s="582">
        <f t="shared" si="47"/>
        <v>62750000</v>
      </c>
      <c r="M136" s="582">
        <f t="shared" si="47"/>
        <v>0</v>
      </c>
      <c r="N136" s="582">
        <f t="shared" si="47"/>
        <v>0</v>
      </c>
      <c r="O136" s="582">
        <f t="shared" si="47"/>
        <v>0</v>
      </c>
      <c r="P136" s="582">
        <f t="shared" si="47"/>
        <v>0</v>
      </c>
      <c r="Q136" s="582">
        <f t="shared" si="47"/>
        <v>0</v>
      </c>
      <c r="R136" s="582">
        <f t="shared" si="47"/>
        <v>0</v>
      </c>
      <c r="S136" s="582">
        <f t="shared" si="47"/>
        <v>0</v>
      </c>
      <c r="T136" s="582">
        <f t="shared" si="47"/>
        <v>0</v>
      </c>
      <c r="U136" s="582">
        <f t="shared" si="47"/>
        <v>0</v>
      </c>
      <c r="V136" s="582">
        <f t="shared" si="47"/>
        <v>0</v>
      </c>
      <c r="W136" s="582">
        <f t="shared" si="47"/>
        <v>0</v>
      </c>
      <c r="X136" s="582">
        <f t="shared" si="47"/>
        <v>0</v>
      </c>
      <c r="Y136" s="582">
        <f t="shared" si="47"/>
        <v>125000000</v>
      </c>
      <c r="Z136" s="582">
        <f t="shared" si="47"/>
        <v>125000000</v>
      </c>
      <c r="AA136" s="582">
        <f>+K136+O136+S136+W136</f>
        <v>62750000</v>
      </c>
      <c r="AB136" s="582">
        <f>+L136+P136+T136+X136</f>
        <v>62750000</v>
      </c>
      <c r="AC136" s="428"/>
    </row>
    <row r="137" spans="1:29" ht="16.5" thickTop="1" thickBot="1">
      <c r="A137" s="432">
        <v>2</v>
      </c>
      <c r="B137" s="432" t="s">
        <v>854</v>
      </c>
      <c r="C137" s="433" t="s">
        <v>1083</v>
      </c>
      <c r="D137" s="433" t="s">
        <v>856</v>
      </c>
      <c r="E137" s="433" t="s">
        <v>839</v>
      </c>
      <c r="F137" s="433" t="s">
        <v>839</v>
      </c>
      <c r="G137" s="433" t="s">
        <v>839</v>
      </c>
      <c r="H137" s="448" t="s">
        <v>1337</v>
      </c>
      <c r="I137" s="582">
        <v>125000000</v>
      </c>
      <c r="J137" s="582">
        <v>125000000</v>
      </c>
      <c r="K137" s="582">
        <v>62750000</v>
      </c>
      <c r="L137" s="582">
        <v>62750000</v>
      </c>
      <c r="M137" s="582"/>
      <c r="N137" s="582"/>
      <c r="O137" s="582"/>
      <c r="P137" s="582"/>
      <c r="Q137" s="582"/>
      <c r="R137" s="582"/>
      <c r="S137" s="582"/>
      <c r="T137" s="582"/>
      <c r="U137" s="582"/>
      <c r="V137" s="582"/>
      <c r="W137" s="582"/>
      <c r="X137" s="582"/>
      <c r="Y137" s="582">
        <f>+I137+M137+Q137+U137</f>
        <v>125000000</v>
      </c>
      <c r="Z137" s="582">
        <f>+J137+N137+R137+V137</f>
        <v>125000000</v>
      </c>
      <c r="AA137" s="582">
        <f>+K137+O137+S137+W137</f>
        <v>62750000</v>
      </c>
      <c r="AB137" s="582">
        <f>+L137+P137+T137+X137</f>
        <v>62750000</v>
      </c>
      <c r="AC137" s="428"/>
    </row>
    <row r="138" spans="1:29" ht="16.5" thickTop="1" thickBot="1">
      <c r="A138" s="445">
        <v>2</v>
      </c>
      <c r="B138" s="429" t="s">
        <v>854</v>
      </c>
      <c r="C138" s="429" t="s">
        <v>1085</v>
      </c>
      <c r="D138" s="429"/>
      <c r="E138" s="445"/>
      <c r="F138" s="445"/>
      <c r="G138" s="445"/>
      <c r="H138" s="446" t="s">
        <v>1366</v>
      </c>
      <c r="I138" s="592">
        <f>+I139+I143+I147+I151+I155+I159+I163</f>
        <v>2525000000</v>
      </c>
      <c r="J138" s="592">
        <f t="shared" ref="J138:AB138" si="48">+J139+J143+J147+J151+J155+J159+J163</f>
        <v>1780410750</v>
      </c>
      <c r="K138" s="592">
        <f t="shared" si="48"/>
        <v>934960750</v>
      </c>
      <c r="L138" s="592">
        <f t="shared" si="48"/>
        <v>807610750</v>
      </c>
      <c r="M138" s="592">
        <f t="shared" si="48"/>
        <v>0</v>
      </c>
      <c r="N138" s="592">
        <f t="shared" si="48"/>
        <v>0</v>
      </c>
      <c r="O138" s="592">
        <f t="shared" si="48"/>
        <v>0</v>
      </c>
      <c r="P138" s="592">
        <f t="shared" si="48"/>
        <v>0</v>
      </c>
      <c r="Q138" s="592">
        <f t="shared" si="48"/>
        <v>0</v>
      </c>
      <c r="R138" s="592">
        <f t="shared" si="48"/>
        <v>0</v>
      </c>
      <c r="S138" s="592">
        <f t="shared" si="48"/>
        <v>0</v>
      </c>
      <c r="T138" s="592">
        <f t="shared" si="48"/>
        <v>0</v>
      </c>
      <c r="U138" s="592">
        <f t="shared" si="48"/>
        <v>0</v>
      </c>
      <c r="V138" s="592">
        <f t="shared" si="48"/>
        <v>0</v>
      </c>
      <c r="W138" s="592">
        <f t="shared" si="48"/>
        <v>0</v>
      </c>
      <c r="X138" s="592">
        <f t="shared" si="48"/>
        <v>0</v>
      </c>
      <c r="Y138" s="592">
        <f t="shared" si="48"/>
        <v>2525000000</v>
      </c>
      <c r="Z138" s="592">
        <f t="shared" si="48"/>
        <v>1780410750</v>
      </c>
      <c r="AA138" s="592">
        <f t="shared" si="48"/>
        <v>934960750</v>
      </c>
      <c r="AB138" s="592">
        <f t="shared" si="48"/>
        <v>807610750</v>
      </c>
      <c r="AC138" s="428"/>
    </row>
    <row r="139" spans="1:29" ht="16.5" thickTop="1" thickBot="1">
      <c r="A139" s="443">
        <v>2</v>
      </c>
      <c r="B139" s="443" t="s">
        <v>854</v>
      </c>
      <c r="C139" s="443" t="s">
        <v>1085</v>
      </c>
      <c r="D139" s="443" t="s">
        <v>839</v>
      </c>
      <c r="E139" s="443"/>
      <c r="F139" s="443"/>
      <c r="G139" s="443"/>
      <c r="H139" s="447" t="s">
        <v>1367</v>
      </c>
      <c r="I139" s="588">
        <f>+I140</f>
        <v>0</v>
      </c>
      <c r="J139" s="588">
        <f t="shared" ref="J139:Z141" si="49">+J140</f>
        <v>0</v>
      </c>
      <c r="K139" s="588">
        <f t="shared" si="49"/>
        <v>0</v>
      </c>
      <c r="L139" s="588">
        <f t="shared" si="49"/>
        <v>0</v>
      </c>
      <c r="M139" s="588">
        <f t="shared" si="49"/>
        <v>0</v>
      </c>
      <c r="N139" s="588">
        <f t="shared" si="49"/>
        <v>0</v>
      </c>
      <c r="O139" s="588">
        <f t="shared" si="49"/>
        <v>0</v>
      </c>
      <c r="P139" s="588">
        <f t="shared" si="49"/>
        <v>0</v>
      </c>
      <c r="Q139" s="588">
        <f t="shared" si="49"/>
        <v>0</v>
      </c>
      <c r="R139" s="588">
        <f t="shared" si="49"/>
        <v>0</v>
      </c>
      <c r="S139" s="588">
        <f t="shared" si="49"/>
        <v>0</v>
      </c>
      <c r="T139" s="588">
        <f t="shared" si="49"/>
        <v>0</v>
      </c>
      <c r="U139" s="588">
        <f t="shared" si="49"/>
        <v>0</v>
      </c>
      <c r="V139" s="588">
        <f t="shared" si="49"/>
        <v>0</v>
      </c>
      <c r="W139" s="588">
        <f t="shared" si="49"/>
        <v>0</v>
      </c>
      <c r="X139" s="588">
        <f t="shared" si="49"/>
        <v>0</v>
      </c>
      <c r="Y139" s="588">
        <f t="shared" si="49"/>
        <v>0</v>
      </c>
      <c r="Z139" s="588">
        <f t="shared" si="49"/>
        <v>0</v>
      </c>
      <c r="AA139" s="588">
        <f>+K139+O139+S139+W139</f>
        <v>0</v>
      </c>
      <c r="AB139" s="588">
        <f>+L139+P139+T139+X139</f>
        <v>0</v>
      </c>
      <c r="AC139" s="428"/>
    </row>
    <row r="140" spans="1:29" ht="16.5" thickTop="1" thickBot="1">
      <c r="A140" s="443">
        <v>3</v>
      </c>
      <c r="B140" s="443" t="s">
        <v>854</v>
      </c>
      <c r="C140" s="443" t="s">
        <v>1085</v>
      </c>
      <c r="D140" s="443" t="s">
        <v>839</v>
      </c>
      <c r="E140" s="443" t="s">
        <v>839</v>
      </c>
      <c r="F140" s="443"/>
      <c r="G140" s="443"/>
      <c r="H140" s="447" t="s">
        <v>1342</v>
      </c>
      <c r="I140" s="588">
        <f>+I141</f>
        <v>0</v>
      </c>
      <c r="J140" s="588">
        <f t="shared" si="49"/>
        <v>0</v>
      </c>
      <c r="K140" s="588">
        <f t="shared" si="49"/>
        <v>0</v>
      </c>
      <c r="L140" s="588">
        <f t="shared" si="49"/>
        <v>0</v>
      </c>
      <c r="M140" s="588">
        <f t="shared" si="49"/>
        <v>0</v>
      </c>
      <c r="N140" s="588">
        <f t="shared" si="49"/>
        <v>0</v>
      </c>
      <c r="O140" s="588">
        <f t="shared" si="49"/>
        <v>0</v>
      </c>
      <c r="P140" s="588">
        <f t="shared" si="49"/>
        <v>0</v>
      </c>
      <c r="Q140" s="588">
        <f t="shared" si="49"/>
        <v>0</v>
      </c>
      <c r="R140" s="588">
        <f t="shared" si="49"/>
        <v>0</v>
      </c>
      <c r="S140" s="588">
        <f t="shared" si="49"/>
        <v>0</v>
      </c>
      <c r="T140" s="588">
        <f t="shared" si="49"/>
        <v>0</v>
      </c>
      <c r="U140" s="588">
        <f t="shared" si="49"/>
        <v>0</v>
      </c>
      <c r="V140" s="588">
        <f t="shared" si="49"/>
        <v>0</v>
      </c>
      <c r="W140" s="588">
        <f t="shared" si="49"/>
        <v>0</v>
      </c>
      <c r="X140" s="588">
        <f t="shared" si="49"/>
        <v>0</v>
      </c>
      <c r="Y140" s="588">
        <f t="shared" si="49"/>
        <v>0</v>
      </c>
      <c r="Z140" s="588">
        <f t="shared" si="49"/>
        <v>0</v>
      </c>
      <c r="AA140" s="588"/>
      <c r="AB140" s="588"/>
      <c r="AC140" s="428"/>
    </row>
    <row r="141" spans="1:29" ht="16.5" thickTop="1" thickBot="1">
      <c r="A141" s="432">
        <v>2</v>
      </c>
      <c r="B141" s="432" t="s">
        <v>854</v>
      </c>
      <c r="C141" s="433" t="s">
        <v>1085</v>
      </c>
      <c r="D141" s="433" t="s">
        <v>839</v>
      </c>
      <c r="E141" s="433" t="s">
        <v>839</v>
      </c>
      <c r="F141" s="433" t="s">
        <v>839</v>
      </c>
      <c r="G141" s="432"/>
      <c r="H141" s="448" t="s">
        <v>1336</v>
      </c>
      <c r="I141" s="582">
        <f>+I142</f>
        <v>0</v>
      </c>
      <c r="J141" s="582">
        <f t="shared" si="49"/>
        <v>0</v>
      </c>
      <c r="K141" s="582">
        <f t="shared" si="49"/>
        <v>0</v>
      </c>
      <c r="L141" s="582">
        <f t="shared" si="49"/>
        <v>0</v>
      </c>
      <c r="M141" s="582">
        <f t="shared" si="49"/>
        <v>0</v>
      </c>
      <c r="N141" s="582">
        <f t="shared" si="49"/>
        <v>0</v>
      </c>
      <c r="O141" s="582">
        <f t="shared" si="49"/>
        <v>0</v>
      </c>
      <c r="P141" s="582">
        <f t="shared" si="49"/>
        <v>0</v>
      </c>
      <c r="Q141" s="582">
        <f t="shared" si="49"/>
        <v>0</v>
      </c>
      <c r="R141" s="582">
        <f t="shared" si="49"/>
        <v>0</v>
      </c>
      <c r="S141" s="582">
        <f t="shared" si="49"/>
        <v>0</v>
      </c>
      <c r="T141" s="582">
        <f t="shared" si="49"/>
        <v>0</v>
      </c>
      <c r="U141" s="582">
        <f t="shared" si="49"/>
        <v>0</v>
      </c>
      <c r="V141" s="582">
        <f t="shared" si="49"/>
        <v>0</v>
      </c>
      <c r="W141" s="582">
        <f t="shared" si="49"/>
        <v>0</v>
      </c>
      <c r="X141" s="582">
        <f t="shared" si="49"/>
        <v>0</v>
      </c>
      <c r="Y141" s="582">
        <f t="shared" si="49"/>
        <v>0</v>
      </c>
      <c r="Z141" s="582">
        <f t="shared" si="49"/>
        <v>0</v>
      </c>
      <c r="AA141" s="582">
        <f>+K141+O141+S141+W141</f>
        <v>0</v>
      </c>
      <c r="AB141" s="582">
        <f>+L141+P141+T141+X141</f>
        <v>0</v>
      </c>
      <c r="AC141" s="428"/>
    </row>
    <row r="142" spans="1:29" ht="16.5" thickTop="1" thickBot="1">
      <c r="A142" s="432">
        <v>2</v>
      </c>
      <c r="B142" s="432" t="s">
        <v>854</v>
      </c>
      <c r="C142" s="432" t="s">
        <v>1085</v>
      </c>
      <c r="D142" s="432" t="s">
        <v>839</v>
      </c>
      <c r="E142" s="433" t="s">
        <v>839</v>
      </c>
      <c r="F142" s="433" t="s">
        <v>839</v>
      </c>
      <c r="G142" s="433" t="s">
        <v>839</v>
      </c>
      <c r="H142" s="448" t="s">
        <v>1337</v>
      </c>
      <c r="I142" s="582">
        <v>0</v>
      </c>
      <c r="J142" s="582">
        <v>0</v>
      </c>
      <c r="K142" s="582"/>
      <c r="L142" s="582">
        <v>0</v>
      </c>
      <c r="M142" s="582"/>
      <c r="N142" s="582"/>
      <c r="O142" s="582"/>
      <c r="P142" s="582"/>
      <c r="Q142" s="582"/>
      <c r="R142" s="582"/>
      <c r="S142" s="582"/>
      <c r="T142" s="582"/>
      <c r="U142" s="582"/>
      <c r="V142" s="582"/>
      <c r="W142" s="582"/>
      <c r="X142" s="582"/>
      <c r="Y142" s="582">
        <f>+I142+M142+Q142+U142</f>
        <v>0</v>
      </c>
      <c r="Z142" s="582">
        <f>+J142+N142+R142+V142</f>
        <v>0</v>
      </c>
      <c r="AA142" s="582">
        <f>+K142+O142+S142+W142</f>
        <v>0</v>
      </c>
      <c r="AB142" s="582">
        <f>+L142+P142+T142+X142</f>
        <v>0</v>
      </c>
      <c r="AC142" s="428"/>
    </row>
    <row r="143" spans="1:29" ht="16.5" thickTop="1" thickBot="1">
      <c r="A143" s="443">
        <v>2</v>
      </c>
      <c r="B143" s="443" t="s">
        <v>854</v>
      </c>
      <c r="C143" s="443" t="s">
        <v>1085</v>
      </c>
      <c r="D143" s="443" t="s">
        <v>852</v>
      </c>
      <c r="E143" s="443"/>
      <c r="F143" s="443"/>
      <c r="G143" s="443"/>
      <c r="H143" s="447" t="s">
        <v>1368</v>
      </c>
      <c r="I143" s="588">
        <f>+I144</f>
        <v>210000000</v>
      </c>
      <c r="J143" s="588">
        <f t="shared" ref="J143:AB145" si="50">+J144</f>
        <v>68500000</v>
      </c>
      <c r="K143" s="588">
        <f t="shared" si="50"/>
        <v>30000000</v>
      </c>
      <c r="L143" s="588">
        <f t="shared" si="50"/>
        <v>28000000</v>
      </c>
      <c r="M143" s="588">
        <f t="shared" si="50"/>
        <v>0</v>
      </c>
      <c r="N143" s="588">
        <f t="shared" si="50"/>
        <v>0</v>
      </c>
      <c r="O143" s="588">
        <f t="shared" si="50"/>
        <v>0</v>
      </c>
      <c r="P143" s="588">
        <f t="shared" si="50"/>
        <v>0</v>
      </c>
      <c r="Q143" s="588">
        <f t="shared" si="50"/>
        <v>0</v>
      </c>
      <c r="R143" s="588">
        <f t="shared" si="50"/>
        <v>0</v>
      </c>
      <c r="S143" s="588">
        <f t="shared" si="50"/>
        <v>0</v>
      </c>
      <c r="T143" s="588">
        <f t="shared" si="50"/>
        <v>0</v>
      </c>
      <c r="U143" s="588">
        <f t="shared" si="50"/>
        <v>0</v>
      </c>
      <c r="V143" s="588">
        <f t="shared" si="50"/>
        <v>0</v>
      </c>
      <c r="W143" s="588">
        <f t="shared" si="50"/>
        <v>0</v>
      </c>
      <c r="X143" s="588">
        <f t="shared" si="50"/>
        <v>0</v>
      </c>
      <c r="Y143" s="588">
        <f t="shared" si="50"/>
        <v>210000000</v>
      </c>
      <c r="Z143" s="588">
        <f t="shared" si="50"/>
        <v>68500000</v>
      </c>
      <c r="AA143" s="588">
        <f t="shared" si="50"/>
        <v>30000000</v>
      </c>
      <c r="AB143" s="588">
        <f t="shared" si="50"/>
        <v>28000000</v>
      </c>
      <c r="AC143" s="428"/>
    </row>
    <row r="144" spans="1:29" ht="16.5" thickTop="1" thickBot="1">
      <c r="A144" s="443">
        <v>3</v>
      </c>
      <c r="B144" s="443" t="s">
        <v>854</v>
      </c>
      <c r="C144" s="443" t="s">
        <v>1085</v>
      </c>
      <c r="D144" s="443" t="s">
        <v>852</v>
      </c>
      <c r="E144" s="443" t="s">
        <v>839</v>
      </c>
      <c r="F144" s="443"/>
      <c r="G144" s="443"/>
      <c r="H144" s="447" t="s">
        <v>1342</v>
      </c>
      <c r="I144" s="588">
        <f>+I145</f>
        <v>210000000</v>
      </c>
      <c r="J144" s="588">
        <f t="shared" si="50"/>
        <v>68500000</v>
      </c>
      <c r="K144" s="588">
        <f t="shared" si="50"/>
        <v>30000000</v>
      </c>
      <c r="L144" s="588">
        <f t="shared" si="50"/>
        <v>28000000</v>
      </c>
      <c r="M144" s="588">
        <f t="shared" si="50"/>
        <v>0</v>
      </c>
      <c r="N144" s="588">
        <f t="shared" si="50"/>
        <v>0</v>
      </c>
      <c r="O144" s="588">
        <f t="shared" si="50"/>
        <v>0</v>
      </c>
      <c r="P144" s="588">
        <f t="shared" si="50"/>
        <v>0</v>
      </c>
      <c r="Q144" s="588">
        <f t="shared" si="50"/>
        <v>0</v>
      </c>
      <c r="R144" s="588">
        <f t="shared" si="50"/>
        <v>0</v>
      </c>
      <c r="S144" s="588">
        <f t="shared" si="50"/>
        <v>0</v>
      </c>
      <c r="T144" s="588">
        <f t="shared" si="50"/>
        <v>0</v>
      </c>
      <c r="U144" s="588">
        <f t="shared" si="50"/>
        <v>0</v>
      </c>
      <c r="V144" s="588">
        <f t="shared" si="50"/>
        <v>0</v>
      </c>
      <c r="W144" s="588">
        <f t="shared" si="50"/>
        <v>0</v>
      </c>
      <c r="X144" s="588">
        <f t="shared" si="50"/>
        <v>0</v>
      </c>
      <c r="Y144" s="588">
        <f t="shared" si="50"/>
        <v>210000000</v>
      </c>
      <c r="Z144" s="588">
        <f t="shared" si="50"/>
        <v>68500000</v>
      </c>
      <c r="AA144" s="588">
        <f t="shared" si="50"/>
        <v>30000000</v>
      </c>
      <c r="AB144" s="588">
        <f t="shared" si="50"/>
        <v>28000000</v>
      </c>
      <c r="AC144" s="428"/>
    </row>
    <row r="145" spans="1:29" ht="16.5" thickTop="1" thickBot="1">
      <c r="A145" s="432">
        <v>2</v>
      </c>
      <c r="B145" s="432" t="s">
        <v>854</v>
      </c>
      <c r="C145" s="433" t="s">
        <v>1085</v>
      </c>
      <c r="D145" s="433" t="s">
        <v>852</v>
      </c>
      <c r="E145" s="433" t="s">
        <v>839</v>
      </c>
      <c r="F145" s="433" t="s">
        <v>839</v>
      </c>
      <c r="G145" s="432"/>
      <c r="H145" s="448" t="s">
        <v>1336</v>
      </c>
      <c r="I145" s="582">
        <f>+I146</f>
        <v>210000000</v>
      </c>
      <c r="J145" s="582">
        <f t="shared" si="50"/>
        <v>68500000</v>
      </c>
      <c r="K145" s="582">
        <f t="shared" si="50"/>
        <v>30000000</v>
      </c>
      <c r="L145" s="582">
        <f t="shared" si="50"/>
        <v>28000000</v>
      </c>
      <c r="M145" s="582">
        <f t="shared" si="50"/>
        <v>0</v>
      </c>
      <c r="N145" s="582">
        <f t="shared" si="50"/>
        <v>0</v>
      </c>
      <c r="O145" s="582">
        <f t="shared" si="50"/>
        <v>0</v>
      </c>
      <c r="P145" s="582">
        <f t="shared" si="50"/>
        <v>0</v>
      </c>
      <c r="Q145" s="582">
        <f t="shared" si="50"/>
        <v>0</v>
      </c>
      <c r="R145" s="582">
        <f t="shared" si="50"/>
        <v>0</v>
      </c>
      <c r="S145" s="582">
        <f t="shared" si="50"/>
        <v>0</v>
      </c>
      <c r="T145" s="582">
        <f t="shared" si="50"/>
        <v>0</v>
      </c>
      <c r="U145" s="582">
        <f t="shared" si="50"/>
        <v>0</v>
      </c>
      <c r="V145" s="582">
        <f t="shared" si="50"/>
        <v>0</v>
      </c>
      <c r="W145" s="582">
        <f t="shared" si="50"/>
        <v>0</v>
      </c>
      <c r="X145" s="582">
        <f t="shared" si="50"/>
        <v>0</v>
      </c>
      <c r="Y145" s="582">
        <f t="shared" si="50"/>
        <v>210000000</v>
      </c>
      <c r="Z145" s="582">
        <f t="shared" si="50"/>
        <v>68500000</v>
      </c>
      <c r="AA145" s="582">
        <f t="shared" si="50"/>
        <v>30000000</v>
      </c>
      <c r="AB145" s="582">
        <f t="shared" si="50"/>
        <v>28000000</v>
      </c>
      <c r="AC145" s="428"/>
    </row>
    <row r="146" spans="1:29" ht="16.5" thickTop="1" thickBot="1">
      <c r="A146" s="432">
        <v>2</v>
      </c>
      <c r="B146" s="432" t="s">
        <v>854</v>
      </c>
      <c r="C146" s="433" t="s">
        <v>1085</v>
      </c>
      <c r="D146" s="433" t="s">
        <v>852</v>
      </c>
      <c r="E146" s="433" t="s">
        <v>839</v>
      </c>
      <c r="F146" s="433" t="s">
        <v>839</v>
      </c>
      <c r="G146" s="433" t="s">
        <v>839</v>
      </c>
      <c r="H146" s="448" t="s">
        <v>1337</v>
      </c>
      <c r="I146" s="582">
        <v>210000000</v>
      </c>
      <c r="J146" s="582">
        <v>68500000</v>
      </c>
      <c r="K146" s="582">
        <v>30000000</v>
      </c>
      <c r="L146" s="582">
        <v>28000000</v>
      </c>
      <c r="M146" s="582"/>
      <c r="N146" s="582"/>
      <c r="O146" s="582"/>
      <c r="P146" s="582"/>
      <c r="Q146" s="582"/>
      <c r="R146" s="582"/>
      <c r="S146" s="582"/>
      <c r="T146" s="582"/>
      <c r="U146" s="582"/>
      <c r="V146" s="582"/>
      <c r="W146" s="582"/>
      <c r="X146" s="582"/>
      <c r="Y146" s="582">
        <f>+I146+M146+Q146+U146</f>
        <v>210000000</v>
      </c>
      <c r="Z146" s="582">
        <f>+J146+N146+R146+V146</f>
        <v>68500000</v>
      </c>
      <c r="AA146" s="582">
        <f>+K146+O146+S146+W146</f>
        <v>30000000</v>
      </c>
      <c r="AB146" s="582">
        <f>+L146+P146+T146+X146</f>
        <v>28000000</v>
      </c>
      <c r="AC146" s="428"/>
    </row>
    <row r="147" spans="1:29" ht="16.5" thickTop="1" thickBot="1">
      <c r="A147" s="443">
        <v>2</v>
      </c>
      <c r="B147" s="443" t="s">
        <v>854</v>
      </c>
      <c r="C147" s="443" t="s">
        <v>1085</v>
      </c>
      <c r="D147" s="443" t="s">
        <v>854</v>
      </c>
      <c r="E147" s="443"/>
      <c r="F147" s="443"/>
      <c r="G147" s="443"/>
      <c r="H147" s="447" t="s">
        <v>1369</v>
      </c>
      <c r="I147" s="588">
        <f>+I148</f>
        <v>620000000</v>
      </c>
      <c r="J147" s="588">
        <f t="shared" ref="J147:AB149" si="51">+J148</f>
        <v>519650000</v>
      </c>
      <c r="K147" s="588">
        <f t="shared" si="51"/>
        <v>109050000</v>
      </c>
      <c r="L147" s="588">
        <f t="shared" si="51"/>
        <v>95000000</v>
      </c>
      <c r="M147" s="588">
        <f t="shared" si="51"/>
        <v>0</v>
      </c>
      <c r="N147" s="588">
        <f t="shared" si="51"/>
        <v>0</v>
      </c>
      <c r="O147" s="588">
        <f t="shared" si="51"/>
        <v>0</v>
      </c>
      <c r="P147" s="588">
        <f t="shared" si="51"/>
        <v>0</v>
      </c>
      <c r="Q147" s="588">
        <f t="shared" si="51"/>
        <v>0</v>
      </c>
      <c r="R147" s="588">
        <f t="shared" si="51"/>
        <v>0</v>
      </c>
      <c r="S147" s="588">
        <f t="shared" si="51"/>
        <v>0</v>
      </c>
      <c r="T147" s="588">
        <f t="shared" si="51"/>
        <v>0</v>
      </c>
      <c r="U147" s="588">
        <f t="shared" si="51"/>
        <v>0</v>
      </c>
      <c r="V147" s="588">
        <f t="shared" si="51"/>
        <v>0</v>
      </c>
      <c r="W147" s="588">
        <f t="shared" si="51"/>
        <v>0</v>
      </c>
      <c r="X147" s="588">
        <f t="shared" si="51"/>
        <v>0</v>
      </c>
      <c r="Y147" s="588">
        <f t="shared" si="51"/>
        <v>620000000</v>
      </c>
      <c r="Z147" s="588">
        <f t="shared" si="51"/>
        <v>519650000</v>
      </c>
      <c r="AA147" s="588">
        <f t="shared" si="51"/>
        <v>109050000</v>
      </c>
      <c r="AB147" s="588">
        <f t="shared" si="51"/>
        <v>95000000</v>
      </c>
      <c r="AC147" s="428"/>
    </row>
    <row r="148" spans="1:29" ht="16.5" thickTop="1" thickBot="1">
      <c r="A148" s="443">
        <v>3</v>
      </c>
      <c r="B148" s="443" t="s">
        <v>854</v>
      </c>
      <c r="C148" s="443" t="s">
        <v>1085</v>
      </c>
      <c r="D148" s="443" t="s">
        <v>854</v>
      </c>
      <c r="E148" s="443" t="s">
        <v>839</v>
      </c>
      <c r="F148" s="443"/>
      <c r="G148" s="443"/>
      <c r="H148" s="447" t="s">
        <v>1342</v>
      </c>
      <c r="I148" s="588">
        <f>+I149</f>
        <v>620000000</v>
      </c>
      <c r="J148" s="588">
        <f t="shared" si="51"/>
        <v>519650000</v>
      </c>
      <c r="K148" s="588">
        <f t="shared" si="51"/>
        <v>109050000</v>
      </c>
      <c r="L148" s="588">
        <f t="shared" si="51"/>
        <v>95000000</v>
      </c>
      <c r="M148" s="588">
        <f t="shared" si="51"/>
        <v>0</v>
      </c>
      <c r="N148" s="588">
        <f t="shared" si="51"/>
        <v>0</v>
      </c>
      <c r="O148" s="588">
        <f t="shared" si="51"/>
        <v>0</v>
      </c>
      <c r="P148" s="588">
        <f t="shared" si="51"/>
        <v>0</v>
      </c>
      <c r="Q148" s="588">
        <f t="shared" si="51"/>
        <v>0</v>
      </c>
      <c r="R148" s="588">
        <f t="shared" si="51"/>
        <v>0</v>
      </c>
      <c r="S148" s="588">
        <f t="shared" si="51"/>
        <v>0</v>
      </c>
      <c r="T148" s="588">
        <f t="shared" si="51"/>
        <v>0</v>
      </c>
      <c r="U148" s="588">
        <f t="shared" si="51"/>
        <v>0</v>
      </c>
      <c r="V148" s="588">
        <f t="shared" si="51"/>
        <v>0</v>
      </c>
      <c r="W148" s="588">
        <f t="shared" si="51"/>
        <v>0</v>
      </c>
      <c r="X148" s="588">
        <f t="shared" si="51"/>
        <v>0</v>
      </c>
      <c r="Y148" s="588">
        <f t="shared" si="51"/>
        <v>620000000</v>
      </c>
      <c r="Z148" s="588">
        <f t="shared" si="51"/>
        <v>519650000</v>
      </c>
      <c r="AA148" s="588">
        <f t="shared" si="51"/>
        <v>109050000</v>
      </c>
      <c r="AB148" s="588">
        <f t="shared" si="51"/>
        <v>95000000</v>
      </c>
      <c r="AC148" s="428"/>
    </row>
    <row r="149" spans="1:29" ht="16.5" thickTop="1" thickBot="1">
      <c r="A149" s="432">
        <v>2</v>
      </c>
      <c r="B149" s="432" t="s">
        <v>854</v>
      </c>
      <c r="C149" s="433" t="s">
        <v>1085</v>
      </c>
      <c r="D149" s="433" t="s">
        <v>854</v>
      </c>
      <c r="E149" s="433" t="s">
        <v>839</v>
      </c>
      <c r="F149" s="433" t="s">
        <v>839</v>
      </c>
      <c r="G149" s="432"/>
      <c r="H149" s="448" t="s">
        <v>1336</v>
      </c>
      <c r="I149" s="582">
        <f>+I150</f>
        <v>620000000</v>
      </c>
      <c r="J149" s="582">
        <f t="shared" si="51"/>
        <v>519650000</v>
      </c>
      <c r="K149" s="582">
        <f t="shared" si="51"/>
        <v>109050000</v>
      </c>
      <c r="L149" s="582">
        <f t="shared" si="51"/>
        <v>95000000</v>
      </c>
      <c r="M149" s="582">
        <f t="shared" si="51"/>
        <v>0</v>
      </c>
      <c r="N149" s="582">
        <f t="shared" si="51"/>
        <v>0</v>
      </c>
      <c r="O149" s="582">
        <f t="shared" si="51"/>
        <v>0</v>
      </c>
      <c r="P149" s="582">
        <f t="shared" si="51"/>
        <v>0</v>
      </c>
      <c r="Q149" s="582">
        <f t="shared" si="51"/>
        <v>0</v>
      </c>
      <c r="R149" s="582">
        <f t="shared" si="51"/>
        <v>0</v>
      </c>
      <c r="S149" s="582">
        <f t="shared" si="51"/>
        <v>0</v>
      </c>
      <c r="T149" s="582">
        <f t="shared" si="51"/>
        <v>0</v>
      </c>
      <c r="U149" s="582">
        <f t="shared" si="51"/>
        <v>0</v>
      </c>
      <c r="V149" s="582">
        <f t="shared" si="51"/>
        <v>0</v>
      </c>
      <c r="W149" s="582">
        <f t="shared" si="51"/>
        <v>0</v>
      </c>
      <c r="X149" s="582">
        <f t="shared" si="51"/>
        <v>0</v>
      </c>
      <c r="Y149" s="582">
        <f t="shared" si="51"/>
        <v>620000000</v>
      </c>
      <c r="Z149" s="582">
        <f t="shared" si="51"/>
        <v>519650000</v>
      </c>
      <c r="AA149" s="582">
        <f t="shared" si="51"/>
        <v>109050000</v>
      </c>
      <c r="AB149" s="582">
        <f t="shared" si="51"/>
        <v>95000000</v>
      </c>
      <c r="AC149" s="428"/>
    </row>
    <row r="150" spans="1:29" ht="16.5" thickTop="1" thickBot="1">
      <c r="A150" s="432">
        <v>2</v>
      </c>
      <c r="B150" s="432" t="s">
        <v>854</v>
      </c>
      <c r="C150" s="433" t="s">
        <v>1085</v>
      </c>
      <c r="D150" s="433" t="s">
        <v>854</v>
      </c>
      <c r="E150" s="433" t="s">
        <v>839</v>
      </c>
      <c r="F150" s="433" t="s">
        <v>839</v>
      </c>
      <c r="G150" s="433" t="s">
        <v>839</v>
      </c>
      <c r="H150" s="448" t="s">
        <v>1337</v>
      </c>
      <c r="I150" s="582">
        <v>620000000</v>
      </c>
      <c r="J150" s="582">
        <v>519650000</v>
      </c>
      <c r="K150" s="582">
        <v>109050000</v>
      </c>
      <c r="L150" s="582">
        <v>95000000</v>
      </c>
      <c r="M150" s="582"/>
      <c r="N150" s="582"/>
      <c r="O150" s="582"/>
      <c r="P150" s="582"/>
      <c r="Q150" s="582"/>
      <c r="R150" s="582"/>
      <c r="S150" s="582"/>
      <c r="T150" s="582"/>
      <c r="U150" s="582"/>
      <c r="V150" s="582"/>
      <c r="W150" s="582"/>
      <c r="X150" s="582"/>
      <c r="Y150" s="582">
        <f>+I150+M150+Q150+U150</f>
        <v>620000000</v>
      </c>
      <c r="Z150" s="582">
        <f>+J150+N150+R150+V150</f>
        <v>519650000</v>
      </c>
      <c r="AA150" s="582">
        <f>+K150+O150+S150+W150</f>
        <v>109050000</v>
      </c>
      <c r="AB150" s="582">
        <f>+L150+P150+T150+X150</f>
        <v>95000000</v>
      </c>
      <c r="AC150" s="428"/>
    </row>
    <row r="151" spans="1:29" ht="16.5" thickTop="1" thickBot="1">
      <c r="A151" s="443">
        <v>2</v>
      </c>
      <c r="B151" s="443" t="s">
        <v>854</v>
      </c>
      <c r="C151" s="443" t="s">
        <v>1085</v>
      </c>
      <c r="D151" s="443" t="s">
        <v>856</v>
      </c>
      <c r="E151" s="443"/>
      <c r="F151" s="443"/>
      <c r="G151" s="443"/>
      <c r="H151" s="447" t="s">
        <v>1370</v>
      </c>
      <c r="I151" s="588">
        <f>+I152</f>
        <v>645000000</v>
      </c>
      <c r="J151" s="588">
        <f t="shared" ref="J151:AB153" si="52">+J152</f>
        <v>244410750</v>
      </c>
      <c r="K151" s="588">
        <f t="shared" si="52"/>
        <v>146910750</v>
      </c>
      <c r="L151" s="588">
        <f t="shared" si="52"/>
        <v>106310750</v>
      </c>
      <c r="M151" s="588">
        <f t="shared" si="52"/>
        <v>0</v>
      </c>
      <c r="N151" s="588">
        <f t="shared" si="52"/>
        <v>0</v>
      </c>
      <c r="O151" s="588">
        <f t="shared" si="52"/>
        <v>0</v>
      </c>
      <c r="P151" s="588">
        <f t="shared" si="52"/>
        <v>0</v>
      </c>
      <c r="Q151" s="588">
        <f t="shared" si="52"/>
        <v>0</v>
      </c>
      <c r="R151" s="588">
        <f t="shared" si="52"/>
        <v>0</v>
      </c>
      <c r="S151" s="588">
        <f t="shared" si="52"/>
        <v>0</v>
      </c>
      <c r="T151" s="588">
        <f t="shared" si="52"/>
        <v>0</v>
      </c>
      <c r="U151" s="588">
        <f t="shared" si="52"/>
        <v>0</v>
      </c>
      <c r="V151" s="588">
        <f t="shared" si="52"/>
        <v>0</v>
      </c>
      <c r="W151" s="588">
        <f t="shared" si="52"/>
        <v>0</v>
      </c>
      <c r="X151" s="588">
        <f t="shared" si="52"/>
        <v>0</v>
      </c>
      <c r="Y151" s="588">
        <f t="shared" si="52"/>
        <v>645000000</v>
      </c>
      <c r="Z151" s="588">
        <f t="shared" si="52"/>
        <v>244410750</v>
      </c>
      <c r="AA151" s="588">
        <f t="shared" si="52"/>
        <v>146910750</v>
      </c>
      <c r="AB151" s="588">
        <f t="shared" si="52"/>
        <v>106310750</v>
      </c>
      <c r="AC151" s="428"/>
    </row>
    <row r="152" spans="1:29" ht="16.5" thickTop="1" thickBot="1">
      <c r="A152" s="443">
        <v>3</v>
      </c>
      <c r="B152" s="443" t="s">
        <v>854</v>
      </c>
      <c r="C152" s="443" t="s">
        <v>1085</v>
      </c>
      <c r="D152" s="443" t="s">
        <v>856</v>
      </c>
      <c r="E152" s="443" t="s">
        <v>839</v>
      </c>
      <c r="F152" s="443"/>
      <c r="G152" s="443"/>
      <c r="H152" s="447" t="s">
        <v>1342</v>
      </c>
      <c r="I152" s="588">
        <f>+I153</f>
        <v>645000000</v>
      </c>
      <c r="J152" s="588">
        <f t="shared" si="52"/>
        <v>244410750</v>
      </c>
      <c r="K152" s="588">
        <f t="shared" si="52"/>
        <v>146910750</v>
      </c>
      <c r="L152" s="588">
        <f t="shared" si="52"/>
        <v>106310750</v>
      </c>
      <c r="M152" s="588">
        <f t="shared" si="52"/>
        <v>0</v>
      </c>
      <c r="N152" s="588">
        <f t="shared" si="52"/>
        <v>0</v>
      </c>
      <c r="O152" s="588">
        <f t="shared" si="52"/>
        <v>0</v>
      </c>
      <c r="P152" s="588">
        <f t="shared" si="52"/>
        <v>0</v>
      </c>
      <c r="Q152" s="588">
        <f t="shared" si="52"/>
        <v>0</v>
      </c>
      <c r="R152" s="588">
        <f t="shared" si="52"/>
        <v>0</v>
      </c>
      <c r="S152" s="588">
        <f t="shared" si="52"/>
        <v>0</v>
      </c>
      <c r="T152" s="588">
        <f t="shared" si="52"/>
        <v>0</v>
      </c>
      <c r="U152" s="588">
        <f t="shared" si="52"/>
        <v>0</v>
      </c>
      <c r="V152" s="588">
        <f t="shared" si="52"/>
        <v>0</v>
      </c>
      <c r="W152" s="588">
        <f t="shared" si="52"/>
        <v>0</v>
      </c>
      <c r="X152" s="588">
        <f t="shared" si="52"/>
        <v>0</v>
      </c>
      <c r="Y152" s="588">
        <f t="shared" si="52"/>
        <v>645000000</v>
      </c>
      <c r="Z152" s="588">
        <f t="shared" si="52"/>
        <v>244410750</v>
      </c>
      <c r="AA152" s="588">
        <f t="shared" si="52"/>
        <v>146910750</v>
      </c>
      <c r="AB152" s="588">
        <f t="shared" si="52"/>
        <v>106310750</v>
      </c>
      <c r="AC152" s="428"/>
    </row>
    <row r="153" spans="1:29" ht="16.5" thickTop="1" thickBot="1">
      <c r="A153" s="432">
        <v>2</v>
      </c>
      <c r="B153" s="432" t="s">
        <v>854</v>
      </c>
      <c r="C153" s="433" t="s">
        <v>1085</v>
      </c>
      <c r="D153" s="433" t="s">
        <v>856</v>
      </c>
      <c r="E153" s="433" t="s">
        <v>839</v>
      </c>
      <c r="F153" s="433" t="s">
        <v>839</v>
      </c>
      <c r="G153" s="432"/>
      <c r="H153" s="448" t="s">
        <v>1336</v>
      </c>
      <c r="I153" s="582">
        <f>+I154</f>
        <v>645000000</v>
      </c>
      <c r="J153" s="582">
        <f t="shared" si="52"/>
        <v>244410750</v>
      </c>
      <c r="K153" s="582">
        <f t="shared" si="52"/>
        <v>146910750</v>
      </c>
      <c r="L153" s="582">
        <f t="shared" si="52"/>
        <v>106310750</v>
      </c>
      <c r="M153" s="582">
        <f t="shared" si="52"/>
        <v>0</v>
      </c>
      <c r="N153" s="582">
        <f t="shared" si="52"/>
        <v>0</v>
      </c>
      <c r="O153" s="582">
        <f t="shared" si="52"/>
        <v>0</v>
      </c>
      <c r="P153" s="582">
        <f t="shared" si="52"/>
        <v>0</v>
      </c>
      <c r="Q153" s="582">
        <f t="shared" si="52"/>
        <v>0</v>
      </c>
      <c r="R153" s="582">
        <f t="shared" si="52"/>
        <v>0</v>
      </c>
      <c r="S153" s="582">
        <f t="shared" si="52"/>
        <v>0</v>
      </c>
      <c r="T153" s="582">
        <f t="shared" si="52"/>
        <v>0</v>
      </c>
      <c r="U153" s="582">
        <f t="shared" si="52"/>
        <v>0</v>
      </c>
      <c r="V153" s="582">
        <f t="shared" si="52"/>
        <v>0</v>
      </c>
      <c r="W153" s="582">
        <f t="shared" si="52"/>
        <v>0</v>
      </c>
      <c r="X153" s="582">
        <f t="shared" si="52"/>
        <v>0</v>
      </c>
      <c r="Y153" s="582">
        <f t="shared" si="52"/>
        <v>645000000</v>
      </c>
      <c r="Z153" s="582">
        <f t="shared" si="52"/>
        <v>244410750</v>
      </c>
      <c r="AA153" s="582">
        <f t="shared" si="52"/>
        <v>146910750</v>
      </c>
      <c r="AB153" s="582">
        <f t="shared" si="52"/>
        <v>106310750</v>
      </c>
      <c r="AC153" s="428"/>
    </row>
    <row r="154" spans="1:29" ht="16.5" thickTop="1" thickBot="1">
      <c r="A154" s="432">
        <v>2</v>
      </c>
      <c r="B154" s="432" t="s">
        <v>854</v>
      </c>
      <c r="C154" s="433" t="s">
        <v>1085</v>
      </c>
      <c r="D154" s="433" t="s">
        <v>856</v>
      </c>
      <c r="E154" s="433" t="s">
        <v>839</v>
      </c>
      <c r="F154" s="433" t="s">
        <v>839</v>
      </c>
      <c r="G154" s="433" t="s">
        <v>839</v>
      </c>
      <c r="H154" s="448" t="s">
        <v>1337</v>
      </c>
      <c r="I154" s="582">
        <v>645000000</v>
      </c>
      <c r="J154" s="582">
        <v>244410750</v>
      </c>
      <c r="K154" s="582">
        <v>146910750</v>
      </c>
      <c r="L154" s="582">
        <v>106310750</v>
      </c>
      <c r="M154" s="582"/>
      <c r="N154" s="582"/>
      <c r="O154" s="582"/>
      <c r="P154" s="582"/>
      <c r="Q154" s="582"/>
      <c r="R154" s="582"/>
      <c r="S154" s="582"/>
      <c r="T154" s="582"/>
      <c r="U154" s="582"/>
      <c r="V154" s="582"/>
      <c r="W154" s="582"/>
      <c r="X154" s="582"/>
      <c r="Y154" s="582">
        <f>+I154+M154+Q154+U154</f>
        <v>645000000</v>
      </c>
      <c r="Z154" s="582">
        <f>+J154+N154+R154+V154</f>
        <v>244410750</v>
      </c>
      <c r="AA154" s="582">
        <f>+K154+O154+S154+W154</f>
        <v>146910750</v>
      </c>
      <c r="AB154" s="582">
        <f>+L154+P154+T154+X154</f>
        <v>106310750</v>
      </c>
      <c r="AC154" s="428"/>
    </row>
    <row r="155" spans="1:29" ht="16.5" thickTop="1" thickBot="1">
      <c r="A155" s="443">
        <v>2</v>
      </c>
      <c r="B155" s="443" t="s">
        <v>854</v>
      </c>
      <c r="C155" s="443" t="s">
        <v>1085</v>
      </c>
      <c r="D155" s="443" t="s">
        <v>907</v>
      </c>
      <c r="E155" s="443"/>
      <c r="F155" s="443"/>
      <c r="G155" s="443"/>
      <c r="H155" s="447" t="s">
        <v>1371</v>
      </c>
      <c r="I155" s="588">
        <f>+I156</f>
        <v>780000000</v>
      </c>
      <c r="J155" s="588">
        <f t="shared" ref="J155:AB157" si="53">+J156</f>
        <v>771150000</v>
      </c>
      <c r="K155" s="588">
        <f t="shared" si="53"/>
        <v>551800000</v>
      </c>
      <c r="L155" s="588">
        <f t="shared" si="53"/>
        <v>492100000</v>
      </c>
      <c r="M155" s="588">
        <f t="shared" si="53"/>
        <v>0</v>
      </c>
      <c r="N155" s="588">
        <f t="shared" si="53"/>
        <v>0</v>
      </c>
      <c r="O155" s="588">
        <f t="shared" si="53"/>
        <v>0</v>
      </c>
      <c r="P155" s="588">
        <f t="shared" si="53"/>
        <v>0</v>
      </c>
      <c r="Q155" s="588">
        <f t="shared" si="53"/>
        <v>0</v>
      </c>
      <c r="R155" s="588">
        <f t="shared" si="53"/>
        <v>0</v>
      </c>
      <c r="S155" s="588">
        <f t="shared" si="53"/>
        <v>0</v>
      </c>
      <c r="T155" s="588">
        <f t="shared" si="53"/>
        <v>0</v>
      </c>
      <c r="U155" s="588">
        <f t="shared" si="53"/>
        <v>0</v>
      </c>
      <c r="V155" s="588">
        <f t="shared" si="53"/>
        <v>0</v>
      </c>
      <c r="W155" s="588">
        <f t="shared" si="53"/>
        <v>0</v>
      </c>
      <c r="X155" s="588">
        <f t="shared" si="53"/>
        <v>0</v>
      </c>
      <c r="Y155" s="588">
        <f t="shared" si="53"/>
        <v>780000000</v>
      </c>
      <c r="Z155" s="588">
        <f t="shared" si="53"/>
        <v>771150000</v>
      </c>
      <c r="AA155" s="588">
        <f t="shared" si="53"/>
        <v>551800000</v>
      </c>
      <c r="AB155" s="588">
        <f t="shared" si="53"/>
        <v>492100000</v>
      </c>
      <c r="AC155" s="428"/>
    </row>
    <row r="156" spans="1:29" ht="16.5" thickTop="1" thickBot="1">
      <c r="A156" s="443">
        <v>3</v>
      </c>
      <c r="B156" s="443" t="s">
        <v>854</v>
      </c>
      <c r="C156" s="443" t="s">
        <v>1085</v>
      </c>
      <c r="D156" s="443" t="s">
        <v>907</v>
      </c>
      <c r="E156" s="443" t="s">
        <v>839</v>
      </c>
      <c r="F156" s="443"/>
      <c r="G156" s="443"/>
      <c r="H156" s="447" t="s">
        <v>1342</v>
      </c>
      <c r="I156" s="588">
        <f>+I157</f>
        <v>780000000</v>
      </c>
      <c r="J156" s="588">
        <f t="shared" si="53"/>
        <v>771150000</v>
      </c>
      <c r="K156" s="588">
        <f t="shared" si="53"/>
        <v>551800000</v>
      </c>
      <c r="L156" s="588">
        <f t="shared" si="53"/>
        <v>492100000</v>
      </c>
      <c r="M156" s="588">
        <f t="shared" si="53"/>
        <v>0</v>
      </c>
      <c r="N156" s="588">
        <f t="shared" si="53"/>
        <v>0</v>
      </c>
      <c r="O156" s="588">
        <f t="shared" si="53"/>
        <v>0</v>
      </c>
      <c r="P156" s="588">
        <f t="shared" si="53"/>
        <v>0</v>
      </c>
      <c r="Q156" s="588">
        <f t="shared" si="53"/>
        <v>0</v>
      </c>
      <c r="R156" s="588">
        <f t="shared" si="53"/>
        <v>0</v>
      </c>
      <c r="S156" s="588">
        <f t="shared" si="53"/>
        <v>0</v>
      </c>
      <c r="T156" s="588">
        <f t="shared" si="53"/>
        <v>0</v>
      </c>
      <c r="U156" s="588">
        <f t="shared" si="53"/>
        <v>0</v>
      </c>
      <c r="V156" s="588">
        <f t="shared" si="53"/>
        <v>0</v>
      </c>
      <c r="W156" s="588">
        <f t="shared" si="53"/>
        <v>0</v>
      </c>
      <c r="X156" s="588">
        <f t="shared" si="53"/>
        <v>0</v>
      </c>
      <c r="Y156" s="588">
        <f t="shared" si="53"/>
        <v>780000000</v>
      </c>
      <c r="Z156" s="588">
        <f t="shared" si="53"/>
        <v>771150000</v>
      </c>
      <c r="AA156" s="588">
        <f t="shared" si="53"/>
        <v>551800000</v>
      </c>
      <c r="AB156" s="588">
        <f t="shared" si="53"/>
        <v>492100000</v>
      </c>
      <c r="AC156" s="428"/>
    </row>
    <row r="157" spans="1:29" ht="16.5" thickTop="1" thickBot="1">
      <c r="A157" s="432">
        <v>2</v>
      </c>
      <c r="B157" s="432" t="s">
        <v>854</v>
      </c>
      <c r="C157" s="433" t="s">
        <v>1085</v>
      </c>
      <c r="D157" s="433" t="s">
        <v>907</v>
      </c>
      <c r="E157" s="433" t="s">
        <v>839</v>
      </c>
      <c r="F157" s="433" t="s">
        <v>839</v>
      </c>
      <c r="G157" s="432"/>
      <c r="H157" s="448" t="s">
        <v>1336</v>
      </c>
      <c r="I157" s="582">
        <f>+I158</f>
        <v>780000000</v>
      </c>
      <c r="J157" s="582">
        <f t="shared" si="53"/>
        <v>771150000</v>
      </c>
      <c r="K157" s="582">
        <f t="shared" si="53"/>
        <v>551800000</v>
      </c>
      <c r="L157" s="582">
        <f t="shared" si="53"/>
        <v>492100000</v>
      </c>
      <c r="M157" s="582">
        <f t="shared" si="53"/>
        <v>0</v>
      </c>
      <c r="N157" s="582">
        <f t="shared" si="53"/>
        <v>0</v>
      </c>
      <c r="O157" s="582">
        <f t="shared" si="53"/>
        <v>0</v>
      </c>
      <c r="P157" s="582">
        <f t="shared" si="53"/>
        <v>0</v>
      </c>
      <c r="Q157" s="582">
        <f t="shared" si="53"/>
        <v>0</v>
      </c>
      <c r="R157" s="582">
        <f t="shared" si="53"/>
        <v>0</v>
      </c>
      <c r="S157" s="582">
        <f t="shared" si="53"/>
        <v>0</v>
      </c>
      <c r="T157" s="582">
        <f t="shared" si="53"/>
        <v>0</v>
      </c>
      <c r="U157" s="582">
        <f t="shared" si="53"/>
        <v>0</v>
      </c>
      <c r="V157" s="582">
        <f t="shared" si="53"/>
        <v>0</v>
      </c>
      <c r="W157" s="582">
        <f t="shared" si="53"/>
        <v>0</v>
      </c>
      <c r="X157" s="582">
        <f t="shared" si="53"/>
        <v>0</v>
      </c>
      <c r="Y157" s="582">
        <f t="shared" si="53"/>
        <v>780000000</v>
      </c>
      <c r="Z157" s="582">
        <f t="shared" si="53"/>
        <v>771150000</v>
      </c>
      <c r="AA157" s="582">
        <f t="shared" si="53"/>
        <v>551800000</v>
      </c>
      <c r="AB157" s="582">
        <f t="shared" si="53"/>
        <v>492100000</v>
      </c>
      <c r="AC157" s="428"/>
    </row>
    <row r="158" spans="1:29" ht="16.5" thickTop="1" thickBot="1">
      <c r="A158" s="432">
        <v>2</v>
      </c>
      <c r="B158" s="432" t="s">
        <v>854</v>
      </c>
      <c r="C158" s="433" t="s">
        <v>1085</v>
      </c>
      <c r="D158" s="433" t="s">
        <v>907</v>
      </c>
      <c r="E158" s="433" t="s">
        <v>839</v>
      </c>
      <c r="F158" s="433" t="s">
        <v>839</v>
      </c>
      <c r="G158" s="433" t="s">
        <v>839</v>
      </c>
      <c r="H158" s="448" t="s">
        <v>1337</v>
      </c>
      <c r="I158" s="582">
        <v>780000000</v>
      </c>
      <c r="J158" s="582">
        <v>771150000</v>
      </c>
      <c r="K158" s="582">
        <v>551800000</v>
      </c>
      <c r="L158" s="582">
        <v>492100000</v>
      </c>
      <c r="M158" s="582"/>
      <c r="N158" s="582"/>
      <c r="O158" s="582"/>
      <c r="P158" s="582"/>
      <c r="Q158" s="582"/>
      <c r="R158" s="582"/>
      <c r="S158" s="582"/>
      <c r="T158" s="582"/>
      <c r="U158" s="582"/>
      <c r="V158" s="582"/>
      <c r="W158" s="582"/>
      <c r="X158" s="582"/>
      <c r="Y158" s="582">
        <f>+I158+M158+Q158+U158</f>
        <v>780000000</v>
      </c>
      <c r="Z158" s="582">
        <f>+J158+N158+R158+V158</f>
        <v>771150000</v>
      </c>
      <c r="AA158" s="582">
        <f>+K158+O158+S158+W158</f>
        <v>551800000</v>
      </c>
      <c r="AB158" s="582">
        <f>+L158+P158+T158+X158</f>
        <v>492100000</v>
      </c>
      <c r="AC158" s="428"/>
    </row>
    <row r="159" spans="1:29" ht="16.5" thickTop="1" thickBot="1">
      <c r="A159" s="443">
        <v>2</v>
      </c>
      <c r="B159" s="443" t="s">
        <v>854</v>
      </c>
      <c r="C159" s="443" t="s">
        <v>1085</v>
      </c>
      <c r="D159" s="443" t="s">
        <v>930</v>
      </c>
      <c r="E159" s="443"/>
      <c r="F159" s="443"/>
      <c r="G159" s="443"/>
      <c r="H159" s="447" t="s">
        <v>1372</v>
      </c>
      <c r="I159" s="588">
        <f>+I160</f>
        <v>270000000</v>
      </c>
      <c r="J159" s="588">
        <f t="shared" ref="J159:AB161" si="54">+J160</f>
        <v>176700000</v>
      </c>
      <c r="K159" s="588">
        <f t="shared" si="54"/>
        <v>97200000</v>
      </c>
      <c r="L159" s="588">
        <f t="shared" si="54"/>
        <v>86200000</v>
      </c>
      <c r="M159" s="588">
        <f t="shared" si="54"/>
        <v>0</v>
      </c>
      <c r="N159" s="588">
        <f t="shared" si="54"/>
        <v>0</v>
      </c>
      <c r="O159" s="588">
        <f t="shared" si="54"/>
        <v>0</v>
      </c>
      <c r="P159" s="588">
        <f t="shared" si="54"/>
        <v>0</v>
      </c>
      <c r="Q159" s="588">
        <f t="shared" si="54"/>
        <v>0</v>
      </c>
      <c r="R159" s="588">
        <f t="shared" si="54"/>
        <v>0</v>
      </c>
      <c r="S159" s="588">
        <f t="shared" si="54"/>
        <v>0</v>
      </c>
      <c r="T159" s="588">
        <f t="shared" si="54"/>
        <v>0</v>
      </c>
      <c r="U159" s="588">
        <f t="shared" si="54"/>
        <v>0</v>
      </c>
      <c r="V159" s="588">
        <f t="shared" si="54"/>
        <v>0</v>
      </c>
      <c r="W159" s="588">
        <f t="shared" si="54"/>
        <v>0</v>
      </c>
      <c r="X159" s="588">
        <f t="shared" si="54"/>
        <v>0</v>
      </c>
      <c r="Y159" s="588">
        <f t="shared" si="54"/>
        <v>270000000</v>
      </c>
      <c r="Z159" s="588">
        <f t="shared" si="54"/>
        <v>176700000</v>
      </c>
      <c r="AA159" s="588">
        <f t="shared" si="54"/>
        <v>97200000</v>
      </c>
      <c r="AB159" s="588">
        <f t="shared" si="54"/>
        <v>86200000</v>
      </c>
      <c r="AC159" s="428"/>
    </row>
    <row r="160" spans="1:29" ht="16.5" thickTop="1" thickBot="1">
      <c r="A160" s="443">
        <v>3</v>
      </c>
      <c r="B160" s="443" t="s">
        <v>854</v>
      </c>
      <c r="C160" s="443" t="s">
        <v>1085</v>
      </c>
      <c r="D160" s="443" t="s">
        <v>930</v>
      </c>
      <c r="E160" s="443" t="s">
        <v>839</v>
      </c>
      <c r="F160" s="443"/>
      <c r="G160" s="443"/>
      <c r="H160" s="447" t="s">
        <v>1342</v>
      </c>
      <c r="I160" s="588">
        <f>+I161</f>
        <v>270000000</v>
      </c>
      <c r="J160" s="588">
        <f t="shared" si="54"/>
        <v>176700000</v>
      </c>
      <c r="K160" s="588">
        <f t="shared" si="54"/>
        <v>97200000</v>
      </c>
      <c r="L160" s="588">
        <f t="shared" si="54"/>
        <v>86200000</v>
      </c>
      <c r="M160" s="588">
        <f t="shared" si="54"/>
        <v>0</v>
      </c>
      <c r="N160" s="588">
        <f t="shared" si="54"/>
        <v>0</v>
      </c>
      <c r="O160" s="588">
        <f t="shared" si="54"/>
        <v>0</v>
      </c>
      <c r="P160" s="588">
        <f t="shared" si="54"/>
        <v>0</v>
      </c>
      <c r="Q160" s="588">
        <f t="shared" si="54"/>
        <v>0</v>
      </c>
      <c r="R160" s="588">
        <f t="shared" si="54"/>
        <v>0</v>
      </c>
      <c r="S160" s="588">
        <f t="shared" si="54"/>
        <v>0</v>
      </c>
      <c r="T160" s="588">
        <f t="shared" si="54"/>
        <v>0</v>
      </c>
      <c r="U160" s="588">
        <f t="shared" si="54"/>
        <v>0</v>
      </c>
      <c r="V160" s="588">
        <f t="shared" si="54"/>
        <v>0</v>
      </c>
      <c r="W160" s="588">
        <f t="shared" si="54"/>
        <v>0</v>
      </c>
      <c r="X160" s="588">
        <f t="shared" si="54"/>
        <v>0</v>
      </c>
      <c r="Y160" s="588">
        <f t="shared" si="54"/>
        <v>270000000</v>
      </c>
      <c r="Z160" s="588">
        <f t="shared" si="54"/>
        <v>176700000</v>
      </c>
      <c r="AA160" s="588">
        <f t="shared" si="54"/>
        <v>97200000</v>
      </c>
      <c r="AB160" s="588">
        <f t="shared" si="54"/>
        <v>86200000</v>
      </c>
      <c r="AC160" s="428"/>
    </row>
    <row r="161" spans="1:29" ht="16.5" thickTop="1" thickBot="1">
      <c r="A161" s="432">
        <v>2</v>
      </c>
      <c r="B161" s="432" t="s">
        <v>854</v>
      </c>
      <c r="C161" s="433" t="s">
        <v>1085</v>
      </c>
      <c r="D161" s="433" t="s">
        <v>930</v>
      </c>
      <c r="E161" s="433" t="s">
        <v>839</v>
      </c>
      <c r="F161" s="433" t="s">
        <v>839</v>
      </c>
      <c r="G161" s="432"/>
      <c r="H161" s="448" t="s">
        <v>1336</v>
      </c>
      <c r="I161" s="582">
        <f>+I162</f>
        <v>270000000</v>
      </c>
      <c r="J161" s="582">
        <f t="shared" si="54"/>
        <v>176700000</v>
      </c>
      <c r="K161" s="582">
        <f t="shared" si="54"/>
        <v>97200000</v>
      </c>
      <c r="L161" s="582">
        <f t="shared" si="54"/>
        <v>86200000</v>
      </c>
      <c r="M161" s="582">
        <f t="shared" si="54"/>
        <v>0</v>
      </c>
      <c r="N161" s="582">
        <f t="shared" si="54"/>
        <v>0</v>
      </c>
      <c r="O161" s="582">
        <f t="shared" si="54"/>
        <v>0</v>
      </c>
      <c r="P161" s="582">
        <f t="shared" si="54"/>
        <v>0</v>
      </c>
      <c r="Q161" s="582">
        <f t="shared" si="54"/>
        <v>0</v>
      </c>
      <c r="R161" s="582">
        <f t="shared" si="54"/>
        <v>0</v>
      </c>
      <c r="S161" s="582">
        <f t="shared" si="54"/>
        <v>0</v>
      </c>
      <c r="T161" s="582">
        <f t="shared" si="54"/>
        <v>0</v>
      </c>
      <c r="U161" s="582">
        <f t="shared" si="54"/>
        <v>0</v>
      </c>
      <c r="V161" s="582">
        <f t="shared" si="54"/>
        <v>0</v>
      </c>
      <c r="W161" s="582">
        <f t="shared" si="54"/>
        <v>0</v>
      </c>
      <c r="X161" s="582">
        <f t="shared" si="54"/>
        <v>0</v>
      </c>
      <c r="Y161" s="582">
        <f t="shared" si="54"/>
        <v>270000000</v>
      </c>
      <c r="Z161" s="582">
        <f t="shared" si="54"/>
        <v>176700000</v>
      </c>
      <c r="AA161" s="582">
        <f t="shared" si="54"/>
        <v>97200000</v>
      </c>
      <c r="AB161" s="582">
        <f t="shared" si="54"/>
        <v>86200000</v>
      </c>
      <c r="AC161" s="428"/>
    </row>
    <row r="162" spans="1:29" ht="16.5" thickTop="1" thickBot="1">
      <c r="A162" s="432">
        <v>2</v>
      </c>
      <c r="B162" s="432" t="s">
        <v>854</v>
      </c>
      <c r="C162" s="433" t="s">
        <v>1085</v>
      </c>
      <c r="D162" s="433" t="s">
        <v>930</v>
      </c>
      <c r="E162" s="433" t="s">
        <v>839</v>
      </c>
      <c r="F162" s="433" t="s">
        <v>839</v>
      </c>
      <c r="G162" s="433" t="s">
        <v>839</v>
      </c>
      <c r="H162" s="448" t="s">
        <v>1337</v>
      </c>
      <c r="I162" s="582">
        <v>270000000</v>
      </c>
      <c r="J162" s="582">
        <v>176700000</v>
      </c>
      <c r="K162" s="582">
        <v>97200000</v>
      </c>
      <c r="L162" s="582">
        <v>86200000</v>
      </c>
      <c r="M162" s="582"/>
      <c r="N162" s="582"/>
      <c r="O162" s="582"/>
      <c r="P162" s="582"/>
      <c r="Q162" s="582"/>
      <c r="R162" s="582"/>
      <c r="S162" s="582"/>
      <c r="T162" s="582"/>
      <c r="U162" s="582"/>
      <c r="V162" s="582"/>
      <c r="W162" s="582"/>
      <c r="X162" s="582"/>
      <c r="Y162" s="582">
        <f>+I162+M162+Q162+U162</f>
        <v>270000000</v>
      </c>
      <c r="Z162" s="582">
        <f>+J162+N162+R162+V162</f>
        <v>176700000</v>
      </c>
      <c r="AA162" s="582">
        <f>+K162+O162+S162+W162</f>
        <v>97200000</v>
      </c>
      <c r="AB162" s="582">
        <f>+L162+P162+T162+X162</f>
        <v>86200000</v>
      </c>
      <c r="AC162" s="428"/>
    </row>
    <row r="163" spans="1:29" ht="16.5" thickTop="1" thickBot="1">
      <c r="A163" s="443">
        <v>2</v>
      </c>
      <c r="B163" s="443" t="s">
        <v>854</v>
      </c>
      <c r="C163" s="443" t="s">
        <v>1085</v>
      </c>
      <c r="D163" s="443" t="s">
        <v>934</v>
      </c>
      <c r="E163" s="443"/>
      <c r="F163" s="443"/>
      <c r="G163" s="443"/>
      <c r="H163" s="447" t="s">
        <v>1373</v>
      </c>
      <c r="I163" s="588">
        <f>+I164</f>
        <v>0</v>
      </c>
      <c r="J163" s="588">
        <f t="shared" ref="J163:AB165" si="55">+J164</f>
        <v>0</v>
      </c>
      <c r="K163" s="588">
        <f t="shared" si="55"/>
        <v>0</v>
      </c>
      <c r="L163" s="588">
        <f t="shared" si="55"/>
        <v>0</v>
      </c>
      <c r="M163" s="588">
        <f t="shared" si="55"/>
        <v>0</v>
      </c>
      <c r="N163" s="588">
        <f t="shared" si="55"/>
        <v>0</v>
      </c>
      <c r="O163" s="588">
        <f t="shared" si="55"/>
        <v>0</v>
      </c>
      <c r="P163" s="588">
        <f t="shared" si="55"/>
        <v>0</v>
      </c>
      <c r="Q163" s="588">
        <f t="shared" si="55"/>
        <v>0</v>
      </c>
      <c r="R163" s="588">
        <f t="shared" si="55"/>
        <v>0</v>
      </c>
      <c r="S163" s="588">
        <f t="shared" si="55"/>
        <v>0</v>
      </c>
      <c r="T163" s="588">
        <f t="shared" si="55"/>
        <v>0</v>
      </c>
      <c r="U163" s="588">
        <f t="shared" si="55"/>
        <v>0</v>
      </c>
      <c r="V163" s="588">
        <f t="shared" si="55"/>
        <v>0</v>
      </c>
      <c r="W163" s="588">
        <f t="shared" si="55"/>
        <v>0</v>
      </c>
      <c r="X163" s="588">
        <f t="shared" si="55"/>
        <v>0</v>
      </c>
      <c r="Y163" s="588">
        <f t="shared" si="55"/>
        <v>0</v>
      </c>
      <c r="Z163" s="588">
        <f t="shared" si="55"/>
        <v>0</v>
      </c>
      <c r="AA163" s="588">
        <f t="shared" si="55"/>
        <v>0</v>
      </c>
      <c r="AB163" s="588">
        <f t="shared" si="55"/>
        <v>0</v>
      </c>
      <c r="AC163" s="428"/>
    </row>
    <row r="164" spans="1:29" ht="16.5" thickTop="1" thickBot="1">
      <c r="A164" s="443">
        <v>3</v>
      </c>
      <c r="B164" s="443" t="s">
        <v>854</v>
      </c>
      <c r="C164" s="443" t="s">
        <v>1085</v>
      </c>
      <c r="D164" s="443" t="s">
        <v>934</v>
      </c>
      <c r="E164" s="443" t="s">
        <v>839</v>
      </c>
      <c r="F164" s="443"/>
      <c r="G164" s="443"/>
      <c r="H164" s="447" t="s">
        <v>1342</v>
      </c>
      <c r="I164" s="588">
        <f>+I165</f>
        <v>0</v>
      </c>
      <c r="J164" s="588">
        <f t="shared" si="55"/>
        <v>0</v>
      </c>
      <c r="K164" s="588">
        <f t="shared" si="55"/>
        <v>0</v>
      </c>
      <c r="L164" s="588">
        <f t="shared" si="55"/>
        <v>0</v>
      </c>
      <c r="M164" s="588">
        <f t="shared" si="55"/>
        <v>0</v>
      </c>
      <c r="N164" s="588">
        <f t="shared" si="55"/>
        <v>0</v>
      </c>
      <c r="O164" s="588">
        <f t="shared" si="55"/>
        <v>0</v>
      </c>
      <c r="P164" s="588">
        <f t="shared" si="55"/>
        <v>0</v>
      </c>
      <c r="Q164" s="588">
        <f t="shared" si="55"/>
        <v>0</v>
      </c>
      <c r="R164" s="588">
        <f t="shared" si="55"/>
        <v>0</v>
      </c>
      <c r="S164" s="588">
        <f t="shared" si="55"/>
        <v>0</v>
      </c>
      <c r="T164" s="588">
        <f t="shared" si="55"/>
        <v>0</v>
      </c>
      <c r="U164" s="588">
        <f t="shared" si="55"/>
        <v>0</v>
      </c>
      <c r="V164" s="588">
        <f t="shared" si="55"/>
        <v>0</v>
      </c>
      <c r="W164" s="588">
        <f t="shared" si="55"/>
        <v>0</v>
      </c>
      <c r="X164" s="588">
        <f t="shared" si="55"/>
        <v>0</v>
      </c>
      <c r="Y164" s="588">
        <f t="shared" si="55"/>
        <v>0</v>
      </c>
      <c r="Z164" s="588">
        <f t="shared" si="55"/>
        <v>0</v>
      </c>
      <c r="AA164" s="588">
        <f t="shared" si="55"/>
        <v>0</v>
      </c>
      <c r="AB164" s="588">
        <f t="shared" si="55"/>
        <v>0</v>
      </c>
      <c r="AC164" s="428"/>
    </row>
    <row r="165" spans="1:29" ht="16.5" thickTop="1" thickBot="1">
      <c r="A165" s="432">
        <v>2</v>
      </c>
      <c r="B165" s="432" t="s">
        <v>854</v>
      </c>
      <c r="C165" s="433" t="s">
        <v>1085</v>
      </c>
      <c r="D165" s="433" t="s">
        <v>934</v>
      </c>
      <c r="E165" s="433" t="s">
        <v>839</v>
      </c>
      <c r="F165" s="433" t="s">
        <v>839</v>
      </c>
      <c r="G165" s="432"/>
      <c r="H165" s="448" t="s">
        <v>1336</v>
      </c>
      <c r="I165" s="582">
        <f>+I166</f>
        <v>0</v>
      </c>
      <c r="J165" s="582">
        <f t="shared" si="55"/>
        <v>0</v>
      </c>
      <c r="K165" s="582">
        <f t="shared" si="55"/>
        <v>0</v>
      </c>
      <c r="L165" s="582">
        <f t="shared" si="55"/>
        <v>0</v>
      </c>
      <c r="M165" s="582">
        <f t="shared" si="55"/>
        <v>0</v>
      </c>
      <c r="N165" s="582">
        <f t="shared" si="55"/>
        <v>0</v>
      </c>
      <c r="O165" s="582">
        <f t="shared" si="55"/>
        <v>0</v>
      </c>
      <c r="P165" s="582">
        <f t="shared" si="55"/>
        <v>0</v>
      </c>
      <c r="Q165" s="582">
        <f t="shared" si="55"/>
        <v>0</v>
      </c>
      <c r="R165" s="582">
        <f t="shared" si="55"/>
        <v>0</v>
      </c>
      <c r="S165" s="582">
        <f t="shared" si="55"/>
        <v>0</v>
      </c>
      <c r="T165" s="582">
        <f t="shared" si="55"/>
        <v>0</v>
      </c>
      <c r="U165" s="582">
        <f t="shared" si="55"/>
        <v>0</v>
      </c>
      <c r="V165" s="582">
        <f t="shared" si="55"/>
        <v>0</v>
      </c>
      <c r="W165" s="582">
        <f t="shared" si="55"/>
        <v>0</v>
      </c>
      <c r="X165" s="582">
        <f t="shared" si="55"/>
        <v>0</v>
      </c>
      <c r="Y165" s="582">
        <f t="shared" si="55"/>
        <v>0</v>
      </c>
      <c r="Z165" s="582">
        <f t="shared" si="55"/>
        <v>0</v>
      </c>
      <c r="AA165" s="582">
        <f t="shared" si="55"/>
        <v>0</v>
      </c>
      <c r="AB165" s="582">
        <f t="shared" si="55"/>
        <v>0</v>
      </c>
      <c r="AC165" s="428"/>
    </row>
    <row r="166" spans="1:29" ht="16.5" thickTop="1" thickBot="1">
      <c r="A166" s="432">
        <v>2</v>
      </c>
      <c r="B166" s="432" t="s">
        <v>854</v>
      </c>
      <c r="C166" s="433" t="s">
        <v>1085</v>
      </c>
      <c r="D166" s="433" t="s">
        <v>934</v>
      </c>
      <c r="E166" s="433" t="s">
        <v>839</v>
      </c>
      <c r="F166" s="433" t="s">
        <v>839</v>
      </c>
      <c r="G166" s="433" t="s">
        <v>839</v>
      </c>
      <c r="H166" s="448" t="s">
        <v>1337</v>
      </c>
      <c r="I166" s="582">
        <v>0</v>
      </c>
      <c r="J166" s="582">
        <v>0</v>
      </c>
      <c r="K166" s="582"/>
      <c r="L166" s="582"/>
      <c r="M166" s="582"/>
      <c r="N166" s="582"/>
      <c r="O166" s="582"/>
      <c r="P166" s="582"/>
      <c r="Q166" s="582"/>
      <c r="R166" s="582"/>
      <c r="S166" s="582"/>
      <c r="T166" s="582"/>
      <c r="U166" s="582"/>
      <c r="V166" s="582"/>
      <c r="W166" s="582"/>
      <c r="X166" s="582"/>
      <c r="Y166" s="582">
        <f>+I166+M166+Q166+U166</f>
        <v>0</v>
      </c>
      <c r="Z166" s="582">
        <f>+J166+N166+R166+V166</f>
        <v>0</v>
      </c>
      <c r="AA166" s="582">
        <f>+K166+O166+S166+W166</f>
        <v>0</v>
      </c>
      <c r="AB166" s="582">
        <f>+L166+P166+T166+X166</f>
        <v>0</v>
      </c>
      <c r="AC166" s="428"/>
    </row>
    <row r="167" spans="1:29" ht="16.5" thickTop="1" thickBot="1">
      <c r="A167" s="445">
        <v>2</v>
      </c>
      <c r="B167" s="429" t="s">
        <v>854</v>
      </c>
      <c r="C167" s="429" t="s">
        <v>1085</v>
      </c>
      <c r="D167" s="429"/>
      <c r="E167" s="445"/>
      <c r="F167" s="445"/>
      <c r="G167" s="445"/>
      <c r="H167" s="446" t="s">
        <v>1374</v>
      </c>
      <c r="I167" s="592">
        <f>+I168+I172+I176+I180+I184+I188+I192+I197+I200+I204</f>
        <v>5463168960.6199999</v>
      </c>
      <c r="J167" s="592">
        <f t="shared" ref="J167:AB167" si="56">+J168+J172+J176+J180+J184+J188+J192+J197+J200+J204</f>
        <v>3242757088.75</v>
      </c>
      <c r="K167" s="592">
        <f t="shared" si="56"/>
        <v>1439140312</v>
      </c>
      <c r="L167" s="592">
        <f t="shared" si="56"/>
        <v>1336662374</v>
      </c>
      <c r="M167" s="592">
        <f t="shared" si="56"/>
        <v>0</v>
      </c>
      <c r="N167" s="592">
        <f t="shared" si="56"/>
        <v>0</v>
      </c>
      <c r="O167" s="592">
        <f t="shared" si="56"/>
        <v>0</v>
      </c>
      <c r="P167" s="592">
        <f t="shared" si="56"/>
        <v>0</v>
      </c>
      <c r="Q167" s="592">
        <f t="shared" si="56"/>
        <v>0</v>
      </c>
      <c r="R167" s="592">
        <f t="shared" si="56"/>
        <v>0</v>
      </c>
      <c r="S167" s="592">
        <f t="shared" si="56"/>
        <v>0</v>
      </c>
      <c r="T167" s="592">
        <f t="shared" si="56"/>
        <v>0</v>
      </c>
      <c r="U167" s="592">
        <f t="shared" si="56"/>
        <v>0</v>
      </c>
      <c r="V167" s="592">
        <f t="shared" si="56"/>
        <v>0</v>
      </c>
      <c r="W167" s="592">
        <f t="shared" si="56"/>
        <v>0</v>
      </c>
      <c r="X167" s="592">
        <f t="shared" si="56"/>
        <v>0</v>
      </c>
      <c r="Y167" s="592">
        <f t="shared" si="56"/>
        <v>5463168960.6199999</v>
      </c>
      <c r="Z167" s="592">
        <f t="shared" si="56"/>
        <v>3242757088.75</v>
      </c>
      <c r="AA167" s="592">
        <f t="shared" si="56"/>
        <v>1439140312</v>
      </c>
      <c r="AB167" s="592">
        <f t="shared" si="56"/>
        <v>1336662374</v>
      </c>
      <c r="AC167" s="428"/>
    </row>
    <row r="168" spans="1:29" ht="16.5" thickTop="1" thickBot="1">
      <c r="A168" s="443">
        <v>2</v>
      </c>
      <c r="B168" s="443" t="s">
        <v>854</v>
      </c>
      <c r="C168" s="443" t="s">
        <v>1085</v>
      </c>
      <c r="D168" s="443" t="s">
        <v>839</v>
      </c>
      <c r="E168" s="443"/>
      <c r="F168" s="443"/>
      <c r="G168" s="443"/>
      <c r="H168" s="447" t="s">
        <v>1375</v>
      </c>
      <c r="I168" s="588">
        <f>+I169</f>
        <v>414277511.51999998</v>
      </c>
      <c r="J168" s="588">
        <f t="shared" ref="J168:Z170" si="57">+J169</f>
        <v>341342657</v>
      </c>
      <c r="K168" s="588">
        <f t="shared" si="57"/>
        <v>313342657</v>
      </c>
      <c r="L168" s="588">
        <f t="shared" si="57"/>
        <v>280842657</v>
      </c>
      <c r="M168" s="588">
        <f t="shared" si="57"/>
        <v>0</v>
      </c>
      <c r="N168" s="588">
        <f t="shared" si="57"/>
        <v>0</v>
      </c>
      <c r="O168" s="588">
        <f t="shared" si="57"/>
        <v>0</v>
      </c>
      <c r="P168" s="588">
        <f t="shared" si="57"/>
        <v>0</v>
      </c>
      <c r="Q168" s="588">
        <f t="shared" si="57"/>
        <v>0</v>
      </c>
      <c r="R168" s="588">
        <f t="shared" si="57"/>
        <v>0</v>
      </c>
      <c r="S168" s="588">
        <f t="shared" si="57"/>
        <v>0</v>
      </c>
      <c r="T168" s="588">
        <f t="shared" si="57"/>
        <v>0</v>
      </c>
      <c r="U168" s="588">
        <f t="shared" si="57"/>
        <v>0</v>
      </c>
      <c r="V168" s="588">
        <f t="shared" si="57"/>
        <v>0</v>
      </c>
      <c r="W168" s="588">
        <f t="shared" si="57"/>
        <v>0</v>
      </c>
      <c r="X168" s="588">
        <f t="shared" si="57"/>
        <v>0</v>
      </c>
      <c r="Y168" s="588">
        <f t="shared" si="57"/>
        <v>414277511.51999998</v>
      </c>
      <c r="Z168" s="588">
        <f t="shared" si="57"/>
        <v>341342657</v>
      </c>
      <c r="AA168" s="588">
        <f t="shared" ref="AA168:AB170" si="58">+AA169</f>
        <v>313342657</v>
      </c>
      <c r="AB168" s="588">
        <f t="shared" si="58"/>
        <v>280842657</v>
      </c>
      <c r="AC168" s="428"/>
    </row>
    <row r="169" spans="1:29" ht="16.5" thickTop="1" thickBot="1">
      <c r="A169" s="443">
        <v>3</v>
      </c>
      <c r="B169" s="443" t="s">
        <v>854</v>
      </c>
      <c r="C169" s="443" t="s">
        <v>1085</v>
      </c>
      <c r="D169" s="443" t="s">
        <v>839</v>
      </c>
      <c r="E169" s="443" t="s">
        <v>839</v>
      </c>
      <c r="F169" s="443"/>
      <c r="G169" s="443"/>
      <c r="H169" s="447" t="s">
        <v>1342</v>
      </c>
      <c r="I169" s="588">
        <f>+I170</f>
        <v>414277511.51999998</v>
      </c>
      <c r="J169" s="588">
        <f t="shared" si="57"/>
        <v>341342657</v>
      </c>
      <c r="K169" s="588">
        <f t="shared" si="57"/>
        <v>313342657</v>
      </c>
      <c r="L169" s="588">
        <f t="shared" si="57"/>
        <v>280842657</v>
      </c>
      <c r="M169" s="588">
        <f t="shared" si="57"/>
        <v>0</v>
      </c>
      <c r="N169" s="588">
        <f t="shared" si="57"/>
        <v>0</v>
      </c>
      <c r="O169" s="588">
        <f t="shared" si="57"/>
        <v>0</v>
      </c>
      <c r="P169" s="588">
        <f t="shared" si="57"/>
        <v>0</v>
      </c>
      <c r="Q169" s="588">
        <f t="shared" si="57"/>
        <v>0</v>
      </c>
      <c r="R169" s="588">
        <f t="shared" si="57"/>
        <v>0</v>
      </c>
      <c r="S169" s="588">
        <f t="shared" si="57"/>
        <v>0</v>
      </c>
      <c r="T169" s="588">
        <f t="shared" si="57"/>
        <v>0</v>
      </c>
      <c r="U169" s="588">
        <f t="shared" si="57"/>
        <v>0</v>
      </c>
      <c r="V169" s="588">
        <f t="shared" si="57"/>
        <v>0</v>
      </c>
      <c r="W169" s="588">
        <f t="shared" si="57"/>
        <v>0</v>
      </c>
      <c r="X169" s="588">
        <f t="shared" si="57"/>
        <v>0</v>
      </c>
      <c r="Y169" s="588">
        <f t="shared" si="57"/>
        <v>414277511.51999998</v>
      </c>
      <c r="Z169" s="588">
        <f t="shared" si="57"/>
        <v>341342657</v>
      </c>
      <c r="AA169" s="588">
        <f t="shared" si="58"/>
        <v>313342657</v>
      </c>
      <c r="AB169" s="588">
        <f t="shared" si="58"/>
        <v>280842657</v>
      </c>
      <c r="AC169" s="428"/>
    </row>
    <row r="170" spans="1:29" ht="16.5" thickTop="1" thickBot="1">
      <c r="A170" s="432">
        <v>2</v>
      </c>
      <c r="B170" s="432" t="s">
        <v>854</v>
      </c>
      <c r="C170" s="433" t="s">
        <v>1085</v>
      </c>
      <c r="D170" s="433" t="s">
        <v>839</v>
      </c>
      <c r="E170" s="433" t="s">
        <v>839</v>
      </c>
      <c r="F170" s="433" t="s">
        <v>839</v>
      </c>
      <c r="G170" s="432"/>
      <c r="H170" s="448" t="s">
        <v>1336</v>
      </c>
      <c r="I170" s="582">
        <f>+I171</f>
        <v>414277511.51999998</v>
      </c>
      <c r="J170" s="582">
        <f t="shared" si="57"/>
        <v>341342657</v>
      </c>
      <c r="K170" s="582">
        <f t="shared" si="57"/>
        <v>313342657</v>
      </c>
      <c r="L170" s="582">
        <f t="shared" si="57"/>
        <v>280842657</v>
      </c>
      <c r="M170" s="582">
        <f t="shared" si="57"/>
        <v>0</v>
      </c>
      <c r="N170" s="582">
        <f t="shared" si="57"/>
        <v>0</v>
      </c>
      <c r="O170" s="582">
        <f t="shared" si="57"/>
        <v>0</v>
      </c>
      <c r="P170" s="582">
        <f t="shared" si="57"/>
        <v>0</v>
      </c>
      <c r="Q170" s="582">
        <f t="shared" si="57"/>
        <v>0</v>
      </c>
      <c r="R170" s="582">
        <f t="shared" si="57"/>
        <v>0</v>
      </c>
      <c r="S170" s="582">
        <f t="shared" si="57"/>
        <v>0</v>
      </c>
      <c r="T170" s="582">
        <f t="shared" si="57"/>
        <v>0</v>
      </c>
      <c r="U170" s="582">
        <f t="shared" si="57"/>
        <v>0</v>
      </c>
      <c r="V170" s="582">
        <f t="shared" si="57"/>
        <v>0</v>
      </c>
      <c r="W170" s="582">
        <f t="shared" si="57"/>
        <v>0</v>
      </c>
      <c r="X170" s="582">
        <f t="shared" si="57"/>
        <v>0</v>
      </c>
      <c r="Y170" s="582">
        <f t="shared" si="57"/>
        <v>414277511.51999998</v>
      </c>
      <c r="Z170" s="582">
        <f t="shared" si="57"/>
        <v>341342657</v>
      </c>
      <c r="AA170" s="582">
        <f t="shared" si="58"/>
        <v>313342657</v>
      </c>
      <c r="AB170" s="582">
        <f t="shared" si="58"/>
        <v>280842657</v>
      </c>
      <c r="AC170" s="428"/>
    </row>
    <row r="171" spans="1:29" ht="16.5" thickTop="1" thickBot="1">
      <c r="A171" s="432">
        <v>2</v>
      </c>
      <c r="B171" s="432" t="s">
        <v>854</v>
      </c>
      <c r="C171" s="432" t="s">
        <v>1085</v>
      </c>
      <c r="D171" s="432" t="s">
        <v>839</v>
      </c>
      <c r="E171" s="433" t="s">
        <v>839</v>
      </c>
      <c r="F171" s="433" t="s">
        <v>839</v>
      </c>
      <c r="G171" s="433" t="s">
        <v>839</v>
      </c>
      <c r="H171" s="448" t="s">
        <v>1337</v>
      </c>
      <c r="I171" s="582">
        <v>414277511.51999998</v>
      </c>
      <c r="J171" s="582">
        <v>341342657</v>
      </c>
      <c r="K171" s="582">
        <v>313342657</v>
      </c>
      <c r="L171" s="582">
        <v>280842657</v>
      </c>
      <c r="M171" s="582"/>
      <c r="N171" s="582"/>
      <c r="O171" s="582"/>
      <c r="P171" s="582"/>
      <c r="Q171" s="582"/>
      <c r="R171" s="582"/>
      <c r="S171" s="582"/>
      <c r="T171" s="582"/>
      <c r="U171" s="582"/>
      <c r="V171" s="582"/>
      <c r="W171" s="582"/>
      <c r="X171" s="582"/>
      <c r="Y171" s="582">
        <f>+I171+M171+Q171+U171</f>
        <v>414277511.51999998</v>
      </c>
      <c r="Z171" s="582">
        <f>+J171+N171+R171+V171</f>
        <v>341342657</v>
      </c>
      <c r="AA171" s="582">
        <f>+K171+O171+S171+W171</f>
        <v>313342657</v>
      </c>
      <c r="AB171" s="582">
        <f>+L171+P171+T171+X171</f>
        <v>280842657</v>
      </c>
      <c r="AC171" s="428"/>
    </row>
    <row r="172" spans="1:29" ht="16.5" thickTop="1" thickBot="1">
      <c r="A172" s="443">
        <v>2</v>
      </c>
      <c r="B172" s="443" t="s">
        <v>854</v>
      </c>
      <c r="C172" s="443" t="s">
        <v>1085</v>
      </c>
      <c r="D172" s="443" t="s">
        <v>852</v>
      </c>
      <c r="E172" s="443"/>
      <c r="F172" s="443"/>
      <c r="G172" s="443"/>
      <c r="H172" s="447" t="s">
        <v>1376</v>
      </c>
      <c r="I172" s="588">
        <f>+I173</f>
        <v>430000000</v>
      </c>
      <c r="J172" s="588">
        <f t="shared" ref="J172:AB174" si="59">+J173</f>
        <v>103830000</v>
      </c>
      <c r="K172" s="588">
        <f t="shared" si="59"/>
        <v>67230000</v>
      </c>
      <c r="L172" s="588">
        <f t="shared" si="59"/>
        <v>43900000</v>
      </c>
      <c r="M172" s="588">
        <f t="shared" si="59"/>
        <v>0</v>
      </c>
      <c r="N172" s="588">
        <f t="shared" si="59"/>
        <v>0</v>
      </c>
      <c r="O172" s="588">
        <f t="shared" si="59"/>
        <v>0</v>
      </c>
      <c r="P172" s="588">
        <f t="shared" si="59"/>
        <v>0</v>
      </c>
      <c r="Q172" s="588">
        <f t="shared" si="59"/>
        <v>0</v>
      </c>
      <c r="R172" s="588">
        <f t="shared" si="59"/>
        <v>0</v>
      </c>
      <c r="S172" s="588">
        <f t="shared" si="59"/>
        <v>0</v>
      </c>
      <c r="T172" s="588">
        <f t="shared" si="59"/>
        <v>0</v>
      </c>
      <c r="U172" s="588">
        <f t="shared" si="59"/>
        <v>0</v>
      </c>
      <c r="V172" s="588">
        <f t="shared" si="59"/>
        <v>0</v>
      </c>
      <c r="W172" s="588">
        <f t="shared" si="59"/>
        <v>0</v>
      </c>
      <c r="X172" s="588">
        <f t="shared" si="59"/>
        <v>0</v>
      </c>
      <c r="Y172" s="588">
        <f t="shared" si="59"/>
        <v>430000000</v>
      </c>
      <c r="Z172" s="588">
        <f t="shared" si="59"/>
        <v>103830000</v>
      </c>
      <c r="AA172" s="588">
        <f t="shared" si="59"/>
        <v>67230000</v>
      </c>
      <c r="AB172" s="588">
        <f t="shared" si="59"/>
        <v>43900000</v>
      </c>
      <c r="AC172" s="428"/>
    </row>
    <row r="173" spans="1:29" ht="16.5" thickTop="1" thickBot="1">
      <c r="A173" s="443">
        <v>3</v>
      </c>
      <c r="B173" s="443" t="s">
        <v>854</v>
      </c>
      <c r="C173" s="443" t="s">
        <v>1085</v>
      </c>
      <c r="D173" s="443" t="s">
        <v>852</v>
      </c>
      <c r="E173" s="443" t="s">
        <v>839</v>
      </c>
      <c r="F173" s="443"/>
      <c r="G173" s="443"/>
      <c r="H173" s="447" t="s">
        <v>1342</v>
      </c>
      <c r="I173" s="588">
        <f>+I174</f>
        <v>430000000</v>
      </c>
      <c r="J173" s="588">
        <f t="shared" si="59"/>
        <v>103830000</v>
      </c>
      <c r="K173" s="588">
        <f t="shared" si="59"/>
        <v>67230000</v>
      </c>
      <c r="L173" s="588">
        <f t="shared" si="59"/>
        <v>43900000</v>
      </c>
      <c r="M173" s="588">
        <f t="shared" si="59"/>
        <v>0</v>
      </c>
      <c r="N173" s="588">
        <f t="shared" si="59"/>
        <v>0</v>
      </c>
      <c r="O173" s="588">
        <f t="shared" si="59"/>
        <v>0</v>
      </c>
      <c r="P173" s="588">
        <f t="shared" si="59"/>
        <v>0</v>
      </c>
      <c r="Q173" s="588">
        <f t="shared" si="59"/>
        <v>0</v>
      </c>
      <c r="R173" s="588">
        <f t="shared" si="59"/>
        <v>0</v>
      </c>
      <c r="S173" s="588">
        <f t="shared" si="59"/>
        <v>0</v>
      </c>
      <c r="T173" s="588">
        <f t="shared" si="59"/>
        <v>0</v>
      </c>
      <c r="U173" s="588">
        <f t="shared" si="59"/>
        <v>0</v>
      </c>
      <c r="V173" s="588">
        <f t="shared" si="59"/>
        <v>0</v>
      </c>
      <c r="W173" s="588">
        <f t="shared" si="59"/>
        <v>0</v>
      </c>
      <c r="X173" s="588">
        <f t="shared" si="59"/>
        <v>0</v>
      </c>
      <c r="Y173" s="588">
        <f t="shared" si="59"/>
        <v>430000000</v>
      </c>
      <c r="Z173" s="588">
        <f t="shared" si="59"/>
        <v>103830000</v>
      </c>
      <c r="AA173" s="588">
        <f t="shared" si="59"/>
        <v>67230000</v>
      </c>
      <c r="AB173" s="588">
        <f t="shared" si="59"/>
        <v>43900000</v>
      </c>
      <c r="AC173" s="428"/>
    </row>
    <row r="174" spans="1:29" ht="16.5" thickTop="1" thickBot="1">
      <c r="A174" s="432">
        <v>2</v>
      </c>
      <c r="B174" s="432" t="s">
        <v>854</v>
      </c>
      <c r="C174" s="433" t="s">
        <v>1085</v>
      </c>
      <c r="D174" s="433" t="s">
        <v>852</v>
      </c>
      <c r="E174" s="433" t="s">
        <v>839</v>
      </c>
      <c r="F174" s="433" t="s">
        <v>839</v>
      </c>
      <c r="G174" s="432"/>
      <c r="H174" s="448" t="s">
        <v>1336</v>
      </c>
      <c r="I174" s="582">
        <f>+I175</f>
        <v>430000000</v>
      </c>
      <c r="J174" s="582">
        <f t="shared" si="59"/>
        <v>103830000</v>
      </c>
      <c r="K174" s="582">
        <f t="shared" si="59"/>
        <v>67230000</v>
      </c>
      <c r="L174" s="582">
        <f t="shared" si="59"/>
        <v>43900000</v>
      </c>
      <c r="M174" s="582">
        <f t="shared" si="59"/>
        <v>0</v>
      </c>
      <c r="N174" s="582">
        <f t="shared" si="59"/>
        <v>0</v>
      </c>
      <c r="O174" s="582">
        <f t="shared" si="59"/>
        <v>0</v>
      </c>
      <c r="P174" s="582">
        <f t="shared" si="59"/>
        <v>0</v>
      </c>
      <c r="Q174" s="582">
        <f t="shared" si="59"/>
        <v>0</v>
      </c>
      <c r="R174" s="582">
        <f t="shared" si="59"/>
        <v>0</v>
      </c>
      <c r="S174" s="582">
        <f t="shared" si="59"/>
        <v>0</v>
      </c>
      <c r="T174" s="582">
        <f t="shared" si="59"/>
        <v>0</v>
      </c>
      <c r="U174" s="582">
        <f t="shared" si="59"/>
        <v>0</v>
      </c>
      <c r="V174" s="582">
        <f t="shared" si="59"/>
        <v>0</v>
      </c>
      <c r="W174" s="582">
        <f t="shared" si="59"/>
        <v>0</v>
      </c>
      <c r="X174" s="582">
        <f t="shared" si="59"/>
        <v>0</v>
      </c>
      <c r="Y174" s="582">
        <f t="shared" si="59"/>
        <v>430000000</v>
      </c>
      <c r="Z174" s="582">
        <f t="shared" si="59"/>
        <v>103830000</v>
      </c>
      <c r="AA174" s="582">
        <f t="shared" si="59"/>
        <v>67230000</v>
      </c>
      <c r="AB174" s="582">
        <f t="shared" si="59"/>
        <v>43900000</v>
      </c>
      <c r="AC174" s="428"/>
    </row>
    <row r="175" spans="1:29" ht="16.5" thickTop="1" thickBot="1">
      <c r="A175" s="432">
        <v>2</v>
      </c>
      <c r="B175" s="432" t="s">
        <v>854</v>
      </c>
      <c r="C175" s="433" t="s">
        <v>1085</v>
      </c>
      <c r="D175" s="433" t="s">
        <v>852</v>
      </c>
      <c r="E175" s="433" t="s">
        <v>839</v>
      </c>
      <c r="F175" s="433" t="s">
        <v>839</v>
      </c>
      <c r="G175" s="433" t="s">
        <v>839</v>
      </c>
      <c r="H175" s="448" t="s">
        <v>1337</v>
      </c>
      <c r="I175" s="582">
        <v>430000000</v>
      </c>
      <c r="J175" s="582">
        <v>103830000</v>
      </c>
      <c r="K175" s="582">
        <v>67230000</v>
      </c>
      <c r="L175" s="582">
        <v>43900000</v>
      </c>
      <c r="M175" s="582"/>
      <c r="N175" s="582"/>
      <c r="O175" s="582"/>
      <c r="P175" s="582"/>
      <c r="Q175" s="582"/>
      <c r="R175" s="582"/>
      <c r="S175" s="582"/>
      <c r="T175" s="582"/>
      <c r="U175" s="582"/>
      <c r="V175" s="582"/>
      <c r="W175" s="582"/>
      <c r="X175" s="582"/>
      <c r="Y175" s="582">
        <f>+I175+M175+Q175+U175</f>
        <v>430000000</v>
      </c>
      <c r="Z175" s="582">
        <f>+J175+N175+R175+V175</f>
        <v>103830000</v>
      </c>
      <c r="AA175" s="582">
        <f>+K175+O175+S175+W175</f>
        <v>67230000</v>
      </c>
      <c r="AB175" s="582">
        <f>+L175+P175+T175+X175</f>
        <v>43900000</v>
      </c>
      <c r="AC175" s="428"/>
    </row>
    <row r="176" spans="1:29" ht="16.5" thickTop="1" thickBot="1">
      <c r="A176" s="443">
        <v>2</v>
      </c>
      <c r="B176" s="443" t="s">
        <v>854</v>
      </c>
      <c r="C176" s="443" t="s">
        <v>1085</v>
      </c>
      <c r="D176" s="443" t="s">
        <v>854</v>
      </c>
      <c r="E176" s="443"/>
      <c r="F176" s="443"/>
      <c r="G176" s="443"/>
      <c r="H176" s="447" t="s">
        <v>1377</v>
      </c>
      <c r="I176" s="588">
        <f>+I177</f>
        <v>1284891449.0999999</v>
      </c>
      <c r="J176" s="588">
        <f t="shared" ref="J176:AB178" si="60">+J177</f>
        <v>1216381367</v>
      </c>
      <c r="K176" s="588">
        <f t="shared" si="60"/>
        <v>62000000</v>
      </c>
      <c r="L176" s="588">
        <f t="shared" si="60"/>
        <v>59900000</v>
      </c>
      <c r="M176" s="588">
        <f t="shared" si="60"/>
        <v>0</v>
      </c>
      <c r="N176" s="588">
        <f t="shared" si="60"/>
        <v>0</v>
      </c>
      <c r="O176" s="588">
        <f t="shared" si="60"/>
        <v>0</v>
      </c>
      <c r="P176" s="588">
        <f t="shared" si="60"/>
        <v>0</v>
      </c>
      <c r="Q176" s="588">
        <f t="shared" si="60"/>
        <v>0</v>
      </c>
      <c r="R176" s="588">
        <f t="shared" si="60"/>
        <v>0</v>
      </c>
      <c r="S176" s="588">
        <f t="shared" si="60"/>
        <v>0</v>
      </c>
      <c r="T176" s="588">
        <f t="shared" si="60"/>
        <v>0</v>
      </c>
      <c r="U176" s="588">
        <f t="shared" si="60"/>
        <v>0</v>
      </c>
      <c r="V176" s="588">
        <f t="shared" si="60"/>
        <v>0</v>
      </c>
      <c r="W176" s="588">
        <f t="shared" si="60"/>
        <v>0</v>
      </c>
      <c r="X176" s="588">
        <f t="shared" si="60"/>
        <v>0</v>
      </c>
      <c r="Y176" s="588">
        <f t="shared" si="60"/>
        <v>1284891449.0999999</v>
      </c>
      <c r="Z176" s="588">
        <f t="shared" si="60"/>
        <v>1216381367</v>
      </c>
      <c r="AA176" s="588">
        <f t="shared" si="60"/>
        <v>62000000</v>
      </c>
      <c r="AB176" s="588">
        <f t="shared" si="60"/>
        <v>59900000</v>
      </c>
      <c r="AC176" s="428"/>
    </row>
    <row r="177" spans="1:29" ht="16.5" thickTop="1" thickBot="1">
      <c r="A177" s="443">
        <v>3</v>
      </c>
      <c r="B177" s="443" t="s">
        <v>854</v>
      </c>
      <c r="C177" s="443" t="s">
        <v>1085</v>
      </c>
      <c r="D177" s="443" t="s">
        <v>854</v>
      </c>
      <c r="E177" s="443" t="s">
        <v>839</v>
      </c>
      <c r="F177" s="443"/>
      <c r="G177" s="443"/>
      <c r="H177" s="447" t="s">
        <v>1342</v>
      </c>
      <c r="I177" s="588">
        <f>+I178</f>
        <v>1284891449.0999999</v>
      </c>
      <c r="J177" s="588">
        <f t="shared" si="60"/>
        <v>1216381367</v>
      </c>
      <c r="K177" s="588">
        <f t="shared" si="60"/>
        <v>62000000</v>
      </c>
      <c r="L177" s="588">
        <f t="shared" si="60"/>
        <v>59900000</v>
      </c>
      <c r="M177" s="588">
        <f t="shared" si="60"/>
        <v>0</v>
      </c>
      <c r="N177" s="588">
        <f t="shared" si="60"/>
        <v>0</v>
      </c>
      <c r="O177" s="588">
        <f t="shared" si="60"/>
        <v>0</v>
      </c>
      <c r="P177" s="588">
        <f t="shared" si="60"/>
        <v>0</v>
      </c>
      <c r="Q177" s="588">
        <f t="shared" si="60"/>
        <v>0</v>
      </c>
      <c r="R177" s="588">
        <f t="shared" si="60"/>
        <v>0</v>
      </c>
      <c r="S177" s="588">
        <f t="shared" si="60"/>
        <v>0</v>
      </c>
      <c r="T177" s="588">
        <f t="shared" si="60"/>
        <v>0</v>
      </c>
      <c r="U177" s="588">
        <f t="shared" si="60"/>
        <v>0</v>
      </c>
      <c r="V177" s="588">
        <f t="shared" si="60"/>
        <v>0</v>
      </c>
      <c r="W177" s="588">
        <f t="shared" si="60"/>
        <v>0</v>
      </c>
      <c r="X177" s="588">
        <f t="shared" si="60"/>
        <v>0</v>
      </c>
      <c r="Y177" s="588">
        <f t="shared" si="60"/>
        <v>1284891449.0999999</v>
      </c>
      <c r="Z177" s="588">
        <f t="shared" si="60"/>
        <v>1216381367</v>
      </c>
      <c r="AA177" s="588">
        <f t="shared" si="60"/>
        <v>62000000</v>
      </c>
      <c r="AB177" s="588">
        <f t="shared" si="60"/>
        <v>59900000</v>
      </c>
      <c r="AC177" s="428"/>
    </row>
    <row r="178" spans="1:29" ht="16.5" thickTop="1" thickBot="1">
      <c r="A178" s="432">
        <v>2</v>
      </c>
      <c r="B178" s="432" t="s">
        <v>854</v>
      </c>
      <c r="C178" s="433" t="s">
        <v>1085</v>
      </c>
      <c r="D178" s="433" t="s">
        <v>854</v>
      </c>
      <c r="E178" s="433" t="s">
        <v>839</v>
      </c>
      <c r="F178" s="433" t="s">
        <v>839</v>
      </c>
      <c r="G178" s="432"/>
      <c r="H178" s="448" t="s">
        <v>1336</v>
      </c>
      <c r="I178" s="582">
        <f>+I179</f>
        <v>1284891449.0999999</v>
      </c>
      <c r="J178" s="582">
        <f t="shared" si="60"/>
        <v>1216381367</v>
      </c>
      <c r="K178" s="582">
        <f t="shared" si="60"/>
        <v>62000000</v>
      </c>
      <c r="L178" s="582">
        <f t="shared" si="60"/>
        <v>59900000</v>
      </c>
      <c r="M178" s="582">
        <f t="shared" si="60"/>
        <v>0</v>
      </c>
      <c r="N178" s="582">
        <f t="shared" si="60"/>
        <v>0</v>
      </c>
      <c r="O178" s="582">
        <f t="shared" si="60"/>
        <v>0</v>
      </c>
      <c r="P178" s="582">
        <f t="shared" si="60"/>
        <v>0</v>
      </c>
      <c r="Q178" s="582">
        <f t="shared" si="60"/>
        <v>0</v>
      </c>
      <c r="R178" s="582">
        <f t="shared" si="60"/>
        <v>0</v>
      </c>
      <c r="S178" s="582">
        <f t="shared" si="60"/>
        <v>0</v>
      </c>
      <c r="T178" s="582">
        <f t="shared" si="60"/>
        <v>0</v>
      </c>
      <c r="U178" s="582">
        <f t="shared" si="60"/>
        <v>0</v>
      </c>
      <c r="V178" s="582">
        <f t="shared" si="60"/>
        <v>0</v>
      </c>
      <c r="W178" s="582">
        <f t="shared" si="60"/>
        <v>0</v>
      </c>
      <c r="X178" s="582">
        <f t="shared" si="60"/>
        <v>0</v>
      </c>
      <c r="Y178" s="582">
        <f t="shared" si="60"/>
        <v>1284891449.0999999</v>
      </c>
      <c r="Z178" s="582">
        <f t="shared" si="60"/>
        <v>1216381367</v>
      </c>
      <c r="AA178" s="582">
        <f t="shared" si="60"/>
        <v>62000000</v>
      </c>
      <c r="AB178" s="582">
        <f t="shared" si="60"/>
        <v>59900000</v>
      </c>
      <c r="AC178" s="428"/>
    </row>
    <row r="179" spans="1:29" ht="16.5" thickTop="1" thickBot="1">
      <c r="A179" s="432">
        <v>2</v>
      </c>
      <c r="B179" s="432" t="s">
        <v>854</v>
      </c>
      <c r="C179" s="433" t="s">
        <v>1085</v>
      </c>
      <c r="D179" s="433" t="s">
        <v>854</v>
      </c>
      <c r="E179" s="433" t="s">
        <v>839</v>
      </c>
      <c r="F179" s="433" t="s">
        <v>839</v>
      </c>
      <c r="G179" s="433" t="s">
        <v>839</v>
      </c>
      <c r="H179" s="448" t="s">
        <v>1337</v>
      </c>
      <c r="I179" s="582">
        <v>1284891449.0999999</v>
      </c>
      <c r="J179" s="582">
        <v>1216381367</v>
      </c>
      <c r="K179" s="582">
        <v>62000000</v>
      </c>
      <c r="L179" s="582">
        <v>59900000</v>
      </c>
      <c r="M179" s="582"/>
      <c r="N179" s="582"/>
      <c r="O179" s="582"/>
      <c r="P179" s="582"/>
      <c r="Q179" s="582"/>
      <c r="R179" s="582"/>
      <c r="S179" s="582"/>
      <c r="T179" s="582"/>
      <c r="U179" s="582"/>
      <c r="V179" s="582"/>
      <c r="W179" s="582"/>
      <c r="X179" s="582"/>
      <c r="Y179" s="582">
        <f>+I179+M179+Q179+U179</f>
        <v>1284891449.0999999</v>
      </c>
      <c r="Z179" s="582">
        <f>+J179+N179+R179+V179</f>
        <v>1216381367</v>
      </c>
      <c r="AA179" s="582">
        <f>+K179+O179+S179+W179</f>
        <v>62000000</v>
      </c>
      <c r="AB179" s="582">
        <f>+L179+P179+T179+X179</f>
        <v>59900000</v>
      </c>
      <c r="AC179" s="428"/>
    </row>
    <row r="180" spans="1:29" ht="16.5" thickTop="1" thickBot="1">
      <c r="A180" s="443">
        <v>2</v>
      </c>
      <c r="B180" s="443" t="s">
        <v>854</v>
      </c>
      <c r="C180" s="443" t="s">
        <v>1085</v>
      </c>
      <c r="D180" s="443" t="s">
        <v>856</v>
      </c>
      <c r="E180" s="443"/>
      <c r="F180" s="443"/>
      <c r="G180" s="443"/>
      <c r="H180" s="447" t="s">
        <v>1378</v>
      </c>
      <c r="I180" s="588">
        <f>+I181</f>
        <v>400000000</v>
      </c>
      <c r="J180" s="588">
        <f t="shared" ref="J180:AB182" si="61">+J181</f>
        <v>313482364.75</v>
      </c>
      <c r="K180" s="588">
        <f t="shared" si="61"/>
        <v>269291455</v>
      </c>
      <c r="L180" s="588">
        <f t="shared" si="61"/>
        <v>259109717</v>
      </c>
      <c r="M180" s="588">
        <f t="shared" si="61"/>
        <v>0</v>
      </c>
      <c r="N180" s="588">
        <f t="shared" si="61"/>
        <v>0</v>
      </c>
      <c r="O180" s="588">
        <f t="shared" si="61"/>
        <v>0</v>
      </c>
      <c r="P180" s="588">
        <f t="shared" si="61"/>
        <v>0</v>
      </c>
      <c r="Q180" s="588">
        <f t="shared" si="61"/>
        <v>0</v>
      </c>
      <c r="R180" s="588">
        <f t="shared" si="61"/>
        <v>0</v>
      </c>
      <c r="S180" s="588">
        <f t="shared" si="61"/>
        <v>0</v>
      </c>
      <c r="T180" s="588">
        <f t="shared" si="61"/>
        <v>0</v>
      </c>
      <c r="U180" s="588">
        <f t="shared" si="61"/>
        <v>0</v>
      </c>
      <c r="V180" s="588">
        <f t="shared" si="61"/>
        <v>0</v>
      </c>
      <c r="W180" s="588">
        <f t="shared" si="61"/>
        <v>0</v>
      </c>
      <c r="X180" s="588">
        <f t="shared" si="61"/>
        <v>0</v>
      </c>
      <c r="Y180" s="588">
        <f t="shared" si="61"/>
        <v>400000000</v>
      </c>
      <c r="Z180" s="588">
        <f t="shared" si="61"/>
        <v>313482364.75</v>
      </c>
      <c r="AA180" s="588">
        <f t="shared" si="61"/>
        <v>269291455</v>
      </c>
      <c r="AB180" s="588">
        <f t="shared" si="61"/>
        <v>259109717</v>
      </c>
      <c r="AC180" s="428"/>
    </row>
    <row r="181" spans="1:29" ht="16.5" thickTop="1" thickBot="1">
      <c r="A181" s="443">
        <v>3</v>
      </c>
      <c r="B181" s="443" t="s">
        <v>854</v>
      </c>
      <c r="C181" s="443" t="s">
        <v>1085</v>
      </c>
      <c r="D181" s="443" t="s">
        <v>856</v>
      </c>
      <c r="E181" s="443" t="s">
        <v>839</v>
      </c>
      <c r="F181" s="443"/>
      <c r="G181" s="443"/>
      <c r="H181" s="447" t="s">
        <v>1342</v>
      </c>
      <c r="I181" s="588">
        <f>+I182</f>
        <v>400000000</v>
      </c>
      <c r="J181" s="588">
        <f t="shared" si="61"/>
        <v>313482364.75</v>
      </c>
      <c r="K181" s="588">
        <f t="shared" si="61"/>
        <v>269291455</v>
      </c>
      <c r="L181" s="588">
        <f t="shared" si="61"/>
        <v>259109717</v>
      </c>
      <c r="M181" s="588">
        <f t="shared" si="61"/>
        <v>0</v>
      </c>
      <c r="N181" s="588">
        <f t="shared" si="61"/>
        <v>0</v>
      </c>
      <c r="O181" s="588">
        <f t="shared" si="61"/>
        <v>0</v>
      </c>
      <c r="P181" s="588">
        <f t="shared" si="61"/>
        <v>0</v>
      </c>
      <c r="Q181" s="588">
        <f t="shared" si="61"/>
        <v>0</v>
      </c>
      <c r="R181" s="588">
        <f t="shared" si="61"/>
        <v>0</v>
      </c>
      <c r="S181" s="588">
        <f t="shared" si="61"/>
        <v>0</v>
      </c>
      <c r="T181" s="588">
        <f t="shared" si="61"/>
        <v>0</v>
      </c>
      <c r="U181" s="588">
        <f t="shared" si="61"/>
        <v>0</v>
      </c>
      <c r="V181" s="588">
        <f t="shared" si="61"/>
        <v>0</v>
      </c>
      <c r="W181" s="588">
        <f t="shared" si="61"/>
        <v>0</v>
      </c>
      <c r="X181" s="588">
        <f t="shared" si="61"/>
        <v>0</v>
      </c>
      <c r="Y181" s="588">
        <f t="shared" si="61"/>
        <v>400000000</v>
      </c>
      <c r="Z181" s="588">
        <f t="shared" si="61"/>
        <v>313482364.75</v>
      </c>
      <c r="AA181" s="588">
        <f t="shared" si="61"/>
        <v>269291455</v>
      </c>
      <c r="AB181" s="588">
        <f t="shared" si="61"/>
        <v>259109717</v>
      </c>
      <c r="AC181" s="428"/>
    </row>
    <row r="182" spans="1:29" ht="16.5" thickTop="1" thickBot="1">
      <c r="A182" s="432">
        <v>2</v>
      </c>
      <c r="B182" s="432" t="s">
        <v>854</v>
      </c>
      <c r="C182" s="433" t="s">
        <v>1085</v>
      </c>
      <c r="D182" s="433" t="s">
        <v>856</v>
      </c>
      <c r="E182" s="433" t="s">
        <v>839</v>
      </c>
      <c r="F182" s="433" t="s">
        <v>839</v>
      </c>
      <c r="G182" s="432"/>
      <c r="H182" s="448" t="s">
        <v>1336</v>
      </c>
      <c r="I182" s="582">
        <f>+I183</f>
        <v>400000000</v>
      </c>
      <c r="J182" s="582">
        <f t="shared" si="61"/>
        <v>313482364.75</v>
      </c>
      <c r="K182" s="582">
        <f t="shared" si="61"/>
        <v>269291455</v>
      </c>
      <c r="L182" s="582">
        <f t="shared" si="61"/>
        <v>259109717</v>
      </c>
      <c r="M182" s="582">
        <f t="shared" si="61"/>
        <v>0</v>
      </c>
      <c r="N182" s="582">
        <f t="shared" si="61"/>
        <v>0</v>
      </c>
      <c r="O182" s="582">
        <f t="shared" si="61"/>
        <v>0</v>
      </c>
      <c r="P182" s="582">
        <f t="shared" si="61"/>
        <v>0</v>
      </c>
      <c r="Q182" s="582">
        <f t="shared" si="61"/>
        <v>0</v>
      </c>
      <c r="R182" s="582">
        <f t="shared" si="61"/>
        <v>0</v>
      </c>
      <c r="S182" s="582">
        <f t="shared" si="61"/>
        <v>0</v>
      </c>
      <c r="T182" s="582">
        <f t="shared" si="61"/>
        <v>0</v>
      </c>
      <c r="U182" s="582">
        <f t="shared" si="61"/>
        <v>0</v>
      </c>
      <c r="V182" s="582">
        <f t="shared" si="61"/>
        <v>0</v>
      </c>
      <c r="W182" s="582">
        <f t="shared" si="61"/>
        <v>0</v>
      </c>
      <c r="X182" s="582">
        <f t="shared" si="61"/>
        <v>0</v>
      </c>
      <c r="Y182" s="582">
        <f t="shared" si="61"/>
        <v>400000000</v>
      </c>
      <c r="Z182" s="582">
        <f t="shared" si="61"/>
        <v>313482364.75</v>
      </c>
      <c r="AA182" s="582">
        <f t="shared" si="61"/>
        <v>269291455</v>
      </c>
      <c r="AB182" s="582">
        <f t="shared" si="61"/>
        <v>259109717</v>
      </c>
      <c r="AC182" s="428"/>
    </row>
    <row r="183" spans="1:29" ht="16.5" thickTop="1" thickBot="1">
      <c r="A183" s="432">
        <v>2</v>
      </c>
      <c r="B183" s="432" t="s">
        <v>854</v>
      </c>
      <c r="C183" s="433" t="s">
        <v>1085</v>
      </c>
      <c r="D183" s="433" t="s">
        <v>856</v>
      </c>
      <c r="E183" s="433" t="s">
        <v>839</v>
      </c>
      <c r="F183" s="433" t="s">
        <v>839</v>
      </c>
      <c r="G183" s="433" t="s">
        <v>839</v>
      </c>
      <c r="H183" s="448" t="s">
        <v>1337</v>
      </c>
      <c r="I183" s="582">
        <v>400000000</v>
      </c>
      <c r="J183" s="582">
        <v>313482364.75</v>
      </c>
      <c r="K183" s="582">
        <v>269291455</v>
      </c>
      <c r="L183" s="582">
        <v>259109717</v>
      </c>
      <c r="M183" s="582"/>
      <c r="N183" s="582"/>
      <c r="O183" s="582"/>
      <c r="P183" s="582"/>
      <c r="Q183" s="582"/>
      <c r="R183" s="582"/>
      <c r="S183" s="582"/>
      <c r="T183" s="582"/>
      <c r="U183" s="582"/>
      <c r="V183" s="582"/>
      <c r="W183" s="582"/>
      <c r="X183" s="582"/>
      <c r="Y183" s="582">
        <f>+I183+M183+Q183+U183</f>
        <v>400000000</v>
      </c>
      <c r="Z183" s="582">
        <f>+J183+N183+R183+V183</f>
        <v>313482364.75</v>
      </c>
      <c r="AA183" s="582">
        <f>+K183+O183+S183+W183</f>
        <v>269291455</v>
      </c>
      <c r="AB183" s="582">
        <f>+L183+P183+T183+X183</f>
        <v>259109717</v>
      </c>
      <c r="AC183" s="428"/>
    </row>
    <row r="184" spans="1:29" ht="16.5" thickTop="1" thickBot="1">
      <c r="A184" s="443">
        <v>2</v>
      </c>
      <c r="B184" s="443" t="s">
        <v>854</v>
      </c>
      <c r="C184" s="443" t="s">
        <v>1085</v>
      </c>
      <c r="D184" s="443" t="s">
        <v>907</v>
      </c>
      <c r="E184" s="443"/>
      <c r="F184" s="443"/>
      <c r="G184" s="443"/>
      <c r="H184" s="447" t="s">
        <v>1379</v>
      </c>
      <c r="I184" s="588">
        <f>+I185</f>
        <v>292500000</v>
      </c>
      <c r="J184" s="588">
        <f t="shared" ref="J184:AB186" si="62">+J185</f>
        <v>92700000</v>
      </c>
      <c r="K184" s="588">
        <f t="shared" si="62"/>
        <v>71400000</v>
      </c>
      <c r="L184" s="588">
        <f t="shared" si="62"/>
        <v>62500000</v>
      </c>
      <c r="M184" s="588">
        <f t="shared" si="62"/>
        <v>0</v>
      </c>
      <c r="N184" s="588">
        <f t="shared" si="62"/>
        <v>0</v>
      </c>
      <c r="O184" s="588">
        <f t="shared" si="62"/>
        <v>0</v>
      </c>
      <c r="P184" s="588">
        <f t="shared" si="62"/>
        <v>0</v>
      </c>
      <c r="Q184" s="588">
        <f t="shared" si="62"/>
        <v>0</v>
      </c>
      <c r="R184" s="588">
        <f t="shared" si="62"/>
        <v>0</v>
      </c>
      <c r="S184" s="588">
        <f t="shared" si="62"/>
        <v>0</v>
      </c>
      <c r="T184" s="588">
        <f t="shared" si="62"/>
        <v>0</v>
      </c>
      <c r="U184" s="588">
        <f t="shared" si="62"/>
        <v>0</v>
      </c>
      <c r="V184" s="588">
        <f t="shared" si="62"/>
        <v>0</v>
      </c>
      <c r="W184" s="588">
        <f t="shared" si="62"/>
        <v>0</v>
      </c>
      <c r="X184" s="588">
        <f t="shared" si="62"/>
        <v>0</v>
      </c>
      <c r="Y184" s="588">
        <f t="shared" si="62"/>
        <v>292500000</v>
      </c>
      <c r="Z184" s="588">
        <f t="shared" si="62"/>
        <v>92700000</v>
      </c>
      <c r="AA184" s="588">
        <f t="shared" si="62"/>
        <v>71400000</v>
      </c>
      <c r="AB184" s="588">
        <f t="shared" si="62"/>
        <v>62500000</v>
      </c>
      <c r="AC184" s="428"/>
    </row>
    <row r="185" spans="1:29" ht="16.5" thickTop="1" thickBot="1">
      <c r="A185" s="443">
        <v>3</v>
      </c>
      <c r="B185" s="443" t="s">
        <v>854</v>
      </c>
      <c r="C185" s="443" t="s">
        <v>1085</v>
      </c>
      <c r="D185" s="443" t="s">
        <v>907</v>
      </c>
      <c r="E185" s="443" t="s">
        <v>839</v>
      </c>
      <c r="F185" s="443"/>
      <c r="G185" s="443"/>
      <c r="H185" s="447" t="s">
        <v>1342</v>
      </c>
      <c r="I185" s="588">
        <f>+I186</f>
        <v>292500000</v>
      </c>
      <c r="J185" s="588">
        <f t="shared" si="62"/>
        <v>92700000</v>
      </c>
      <c r="K185" s="588">
        <f t="shared" si="62"/>
        <v>71400000</v>
      </c>
      <c r="L185" s="588">
        <f t="shared" si="62"/>
        <v>62500000</v>
      </c>
      <c r="M185" s="588">
        <f t="shared" si="62"/>
        <v>0</v>
      </c>
      <c r="N185" s="588">
        <f t="shared" si="62"/>
        <v>0</v>
      </c>
      <c r="O185" s="588">
        <f t="shared" si="62"/>
        <v>0</v>
      </c>
      <c r="P185" s="588">
        <f t="shared" si="62"/>
        <v>0</v>
      </c>
      <c r="Q185" s="588">
        <f t="shared" si="62"/>
        <v>0</v>
      </c>
      <c r="R185" s="588">
        <f t="shared" si="62"/>
        <v>0</v>
      </c>
      <c r="S185" s="588">
        <f t="shared" si="62"/>
        <v>0</v>
      </c>
      <c r="T185" s="588">
        <f t="shared" si="62"/>
        <v>0</v>
      </c>
      <c r="U185" s="588">
        <f t="shared" si="62"/>
        <v>0</v>
      </c>
      <c r="V185" s="588">
        <f t="shared" si="62"/>
        <v>0</v>
      </c>
      <c r="W185" s="588">
        <f t="shared" si="62"/>
        <v>0</v>
      </c>
      <c r="X185" s="588">
        <f t="shared" si="62"/>
        <v>0</v>
      </c>
      <c r="Y185" s="588">
        <f t="shared" si="62"/>
        <v>292500000</v>
      </c>
      <c r="Z185" s="588">
        <f t="shared" si="62"/>
        <v>92700000</v>
      </c>
      <c r="AA185" s="588">
        <f t="shared" si="62"/>
        <v>71400000</v>
      </c>
      <c r="AB185" s="588">
        <f t="shared" si="62"/>
        <v>62500000</v>
      </c>
      <c r="AC185" s="428"/>
    </row>
    <row r="186" spans="1:29" ht="16.5" thickTop="1" thickBot="1">
      <c r="A186" s="432">
        <v>2</v>
      </c>
      <c r="B186" s="432" t="s">
        <v>854</v>
      </c>
      <c r="C186" s="433" t="s">
        <v>1085</v>
      </c>
      <c r="D186" s="433" t="s">
        <v>907</v>
      </c>
      <c r="E186" s="433" t="s">
        <v>839</v>
      </c>
      <c r="F186" s="433" t="s">
        <v>839</v>
      </c>
      <c r="G186" s="432"/>
      <c r="H186" s="448" t="s">
        <v>1336</v>
      </c>
      <c r="I186" s="582">
        <f>+I187</f>
        <v>292500000</v>
      </c>
      <c r="J186" s="582">
        <f t="shared" si="62"/>
        <v>92700000</v>
      </c>
      <c r="K186" s="582">
        <f t="shared" si="62"/>
        <v>71400000</v>
      </c>
      <c r="L186" s="582">
        <f t="shared" si="62"/>
        <v>62500000</v>
      </c>
      <c r="M186" s="582">
        <f t="shared" si="62"/>
        <v>0</v>
      </c>
      <c r="N186" s="582">
        <f t="shared" si="62"/>
        <v>0</v>
      </c>
      <c r="O186" s="582">
        <f t="shared" si="62"/>
        <v>0</v>
      </c>
      <c r="P186" s="582">
        <f t="shared" si="62"/>
        <v>0</v>
      </c>
      <c r="Q186" s="582">
        <f t="shared" si="62"/>
        <v>0</v>
      </c>
      <c r="R186" s="582">
        <f t="shared" si="62"/>
        <v>0</v>
      </c>
      <c r="S186" s="582">
        <f t="shared" si="62"/>
        <v>0</v>
      </c>
      <c r="T186" s="582">
        <f t="shared" si="62"/>
        <v>0</v>
      </c>
      <c r="U186" s="582">
        <f t="shared" si="62"/>
        <v>0</v>
      </c>
      <c r="V186" s="582">
        <f t="shared" si="62"/>
        <v>0</v>
      </c>
      <c r="W186" s="582">
        <f t="shared" si="62"/>
        <v>0</v>
      </c>
      <c r="X186" s="582">
        <f t="shared" si="62"/>
        <v>0</v>
      </c>
      <c r="Y186" s="582">
        <f t="shared" si="62"/>
        <v>292500000</v>
      </c>
      <c r="Z186" s="582">
        <f t="shared" si="62"/>
        <v>92700000</v>
      </c>
      <c r="AA186" s="582">
        <f t="shared" si="62"/>
        <v>71400000</v>
      </c>
      <c r="AB186" s="582">
        <f t="shared" si="62"/>
        <v>62500000</v>
      </c>
      <c r="AC186" s="428"/>
    </row>
    <row r="187" spans="1:29" ht="16.5" thickTop="1" thickBot="1">
      <c r="A187" s="432">
        <v>2</v>
      </c>
      <c r="B187" s="432" t="s">
        <v>854</v>
      </c>
      <c r="C187" s="433" t="s">
        <v>1085</v>
      </c>
      <c r="D187" s="433" t="s">
        <v>907</v>
      </c>
      <c r="E187" s="433" t="s">
        <v>839</v>
      </c>
      <c r="F187" s="433" t="s">
        <v>839</v>
      </c>
      <c r="G187" s="433" t="s">
        <v>839</v>
      </c>
      <c r="H187" s="448" t="s">
        <v>1337</v>
      </c>
      <c r="I187" s="582">
        <v>292500000</v>
      </c>
      <c r="J187" s="582">
        <v>92700000</v>
      </c>
      <c r="K187" s="582">
        <v>71400000</v>
      </c>
      <c r="L187" s="582">
        <v>62500000</v>
      </c>
      <c r="M187" s="582"/>
      <c r="N187" s="582"/>
      <c r="O187" s="582"/>
      <c r="P187" s="582"/>
      <c r="Q187" s="582"/>
      <c r="R187" s="582"/>
      <c r="S187" s="582"/>
      <c r="T187" s="582"/>
      <c r="U187" s="582"/>
      <c r="V187" s="582"/>
      <c r="W187" s="582"/>
      <c r="X187" s="582"/>
      <c r="Y187" s="582">
        <f>+I187+M187+Q187+U187</f>
        <v>292500000</v>
      </c>
      <c r="Z187" s="582">
        <f>+J187+N187+R187+V187</f>
        <v>92700000</v>
      </c>
      <c r="AA187" s="582">
        <f>+K187+O187+S187+W187</f>
        <v>71400000</v>
      </c>
      <c r="AB187" s="582">
        <f>+L187+P187+T187+X187</f>
        <v>62500000</v>
      </c>
      <c r="AC187" s="428"/>
    </row>
    <row r="188" spans="1:29" ht="16.5" thickTop="1" thickBot="1">
      <c r="A188" s="443">
        <v>2</v>
      </c>
      <c r="B188" s="443" t="s">
        <v>854</v>
      </c>
      <c r="C188" s="443" t="s">
        <v>1085</v>
      </c>
      <c r="D188" s="443" t="s">
        <v>930</v>
      </c>
      <c r="E188" s="443"/>
      <c r="F188" s="443"/>
      <c r="G188" s="443"/>
      <c r="H188" s="447" t="s">
        <v>1380</v>
      </c>
      <c r="I188" s="588">
        <f>+I189</f>
        <v>526500000</v>
      </c>
      <c r="J188" s="588">
        <f t="shared" ref="J188:AB190" si="63">+J189</f>
        <v>163061300</v>
      </c>
      <c r="K188" s="588">
        <f t="shared" si="63"/>
        <v>44000000</v>
      </c>
      <c r="L188" s="588">
        <f t="shared" si="63"/>
        <v>40000000</v>
      </c>
      <c r="M188" s="588">
        <f t="shared" si="63"/>
        <v>0</v>
      </c>
      <c r="N188" s="588">
        <f t="shared" si="63"/>
        <v>0</v>
      </c>
      <c r="O188" s="588">
        <f t="shared" si="63"/>
        <v>0</v>
      </c>
      <c r="P188" s="588">
        <f t="shared" si="63"/>
        <v>0</v>
      </c>
      <c r="Q188" s="588">
        <f t="shared" si="63"/>
        <v>0</v>
      </c>
      <c r="R188" s="588">
        <f t="shared" si="63"/>
        <v>0</v>
      </c>
      <c r="S188" s="588">
        <f t="shared" si="63"/>
        <v>0</v>
      </c>
      <c r="T188" s="588">
        <f t="shared" si="63"/>
        <v>0</v>
      </c>
      <c r="U188" s="588">
        <f t="shared" si="63"/>
        <v>0</v>
      </c>
      <c r="V188" s="588">
        <f t="shared" si="63"/>
        <v>0</v>
      </c>
      <c r="W188" s="588">
        <f t="shared" si="63"/>
        <v>0</v>
      </c>
      <c r="X188" s="588">
        <f t="shared" si="63"/>
        <v>0</v>
      </c>
      <c r="Y188" s="588">
        <f t="shared" si="63"/>
        <v>526500000</v>
      </c>
      <c r="Z188" s="588">
        <f t="shared" si="63"/>
        <v>163061300</v>
      </c>
      <c r="AA188" s="588">
        <f t="shared" si="63"/>
        <v>44000000</v>
      </c>
      <c r="AB188" s="588">
        <f t="shared" si="63"/>
        <v>40000000</v>
      </c>
      <c r="AC188" s="428"/>
    </row>
    <row r="189" spans="1:29" ht="16.5" thickTop="1" thickBot="1">
      <c r="A189" s="443">
        <v>3</v>
      </c>
      <c r="B189" s="443" t="s">
        <v>854</v>
      </c>
      <c r="C189" s="443" t="s">
        <v>1085</v>
      </c>
      <c r="D189" s="443" t="s">
        <v>930</v>
      </c>
      <c r="E189" s="443" t="s">
        <v>839</v>
      </c>
      <c r="F189" s="443"/>
      <c r="G189" s="443"/>
      <c r="H189" s="447" t="s">
        <v>1342</v>
      </c>
      <c r="I189" s="588">
        <f>+I190</f>
        <v>526500000</v>
      </c>
      <c r="J189" s="588">
        <f t="shared" si="63"/>
        <v>163061300</v>
      </c>
      <c r="K189" s="588">
        <f t="shared" si="63"/>
        <v>44000000</v>
      </c>
      <c r="L189" s="588">
        <f t="shared" si="63"/>
        <v>40000000</v>
      </c>
      <c r="M189" s="588">
        <f t="shared" si="63"/>
        <v>0</v>
      </c>
      <c r="N189" s="588">
        <f t="shared" si="63"/>
        <v>0</v>
      </c>
      <c r="O189" s="588">
        <f t="shared" si="63"/>
        <v>0</v>
      </c>
      <c r="P189" s="588">
        <f t="shared" si="63"/>
        <v>0</v>
      </c>
      <c r="Q189" s="588">
        <f t="shared" si="63"/>
        <v>0</v>
      </c>
      <c r="R189" s="588">
        <f t="shared" si="63"/>
        <v>0</v>
      </c>
      <c r="S189" s="588">
        <f t="shared" si="63"/>
        <v>0</v>
      </c>
      <c r="T189" s="588">
        <f t="shared" si="63"/>
        <v>0</v>
      </c>
      <c r="U189" s="588">
        <f t="shared" si="63"/>
        <v>0</v>
      </c>
      <c r="V189" s="588">
        <f t="shared" si="63"/>
        <v>0</v>
      </c>
      <c r="W189" s="588">
        <f t="shared" si="63"/>
        <v>0</v>
      </c>
      <c r="X189" s="588">
        <f t="shared" si="63"/>
        <v>0</v>
      </c>
      <c r="Y189" s="588">
        <f t="shared" si="63"/>
        <v>526500000</v>
      </c>
      <c r="Z189" s="588">
        <f t="shared" si="63"/>
        <v>163061300</v>
      </c>
      <c r="AA189" s="588">
        <f t="shared" si="63"/>
        <v>44000000</v>
      </c>
      <c r="AB189" s="588">
        <f t="shared" si="63"/>
        <v>40000000</v>
      </c>
      <c r="AC189" s="428"/>
    </row>
    <row r="190" spans="1:29" ht="16.5" thickTop="1" thickBot="1">
      <c r="A190" s="432">
        <v>2</v>
      </c>
      <c r="B190" s="432" t="s">
        <v>854</v>
      </c>
      <c r="C190" s="433" t="s">
        <v>1085</v>
      </c>
      <c r="D190" s="433" t="s">
        <v>930</v>
      </c>
      <c r="E190" s="433" t="s">
        <v>839</v>
      </c>
      <c r="F190" s="433" t="s">
        <v>839</v>
      </c>
      <c r="G190" s="432"/>
      <c r="H190" s="448" t="s">
        <v>1336</v>
      </c>
      <c r="I190" s="582">
        <f>+I191</f>
        <v>526500000</v>
      </c>
      <c r="J190" s="582">
        <f t="shared" si="63"/>
        <v>163061300</v>
      </c>
      <c r="K190" s="582">
        <f t="shared" si="63"/>
        <v>44000000</v>
      </c>
      <c r="L190" s="582">
        <f t="shared" si="63"/>
        <v>40000000</v>
      </c>
      <c r="M190" s="582">
        <f t="shared" si="63"/>
        <v>0</v>
      </c>
      <c r="N190" s="582">
        <f t="shared" si="63"/>
        <v>0</v>
      </c>
      <c r="O190" s="582">
        <f t="shared" si="63"/>
        <v>0</v>
      </c>
      <c r="P190" s="582">
        <f t="shared" si="63"/>
        <v>0</v>
      </c>
      <c r="Q190" s="582">
        <f t="shared" si="63"/>
        <v>0</v>
      </c>
      <c r="R190" s="582">
        <f t="shared" si="63"/>
        <v>0</v>
      </c>
      <c r="S190" s="582">
        <f t="shared" si="63"/>
        <v>0</v>
      </c>
      <c r="T190" s="582">
        <f t="shared" si="63"/>
        <v>0</v>
      </c>
      <c r="U190" s="582">
        <f t="shared" si="63"/>
        <v>0</v>
      </c>
      <c r="V190" s="582">
        <f t="shared" si="63"/>
        <v>0</v>
      </c>
      <c r="W190" s="582">
        <f t="shared" si="63"/>
        <v>0</v>
      </c>
      <c r="X190" s="582">
        <f t="shared" si="63"/>
        <v>0</v>
      </c>
      <c r="Y190" s="582">
        <f t="shared" si="63"/>
        <v>526500000</v>
      </c>
      <c r="Z190" s="582">
        <f t="shared" si="63"/>
        <v>163061300</v>
      </c>
      <c r="AA190" s="582">
        <f t="shared" si="63"/>
        <v>44000000</v>
      </c>
      <c r="AB190" s="582">
        <f t="shared" si="63"/>
        <v>40000000</v>
      </c>
      <c r="AC190" s="428"/>
    </row>
    <row r="191" spans="1:29" ht="16.5" thickTop="1" thickBot="1">
      <c r="A191" s="432">
        <v>2</v>
      </c>
      <c r="B191" s="432" t="s">
        <v>854</v>
      </c>
      <c r="C191" s="433" t="s">
        <v>1085</v>
      </c>
      <c r="D191" s="433" t="s">
        <v>930</v>
      </c>
      <c r="E191" s="433" t="s">
        <v>839</v>
      </c>
      <c r="F191" s="433" t="s">
        <v>839</v>
      </c>
      <c r="G191" s="433" t="s">
        <v>839</v>
      </c>
      <c r="H191" s="448" t="s">
        <v>1337</v>
      </c>
      <c r="I191" s="582">
        <v>526500000</v>
      </c>
      <c r="J191" s="582">
        <v>163061300</v>
      </c>
      <c r="K191" s="582">
        <v>44000000</v>
      </c>
      <c r="L191" s="582">
        <v>40000000</v>
      </c>
      <c r="M191" s="582"/>
      <c r="N191" s="582"/>
      <c r="O191" s="582"/>
      <c r="P191" s="582"/>
      <c r="Q191" s="582"/>
      <c r="R191" s="582"/>
      <c r="S191" s="582"/>
      <c r="T191" s="582"/>
      <c r="U191" s="582"/>
      <c r="V191" s="582"/>
      <c r="W191" s="582"/>
      <c r="X191" s="582"/>
      <c r="Y191" s="582">
        <f>+I191+M191+Q191+U191</f>
        <v>526500000</v>
      </c>
      <c r="Z191" s="582">
        <f>+J191+N191+R191+V191</f>
        <v>163061300</v>
      </c>
      <c r="AA191" s="582">
        <f>+K191+O191+S191+W191</f>
        <v>44000000</v>
      </c>
      <c r="AB191" s="582">
        <f>+L191+P191+T191+X191</f>
        <v>40000000</v>
      </c>
      <c r="AC191" s="428"/>
    </row>
    <row r="192" spans="1:29" ht="16.5" thickTop="1" thickBot="1">
      <c r="A192" s="443">
        <v>2</v>
      </c>
      <c r="B192" s="443" t="s">
        <v>854</v>
      </c>
      <c r="C192" s="443" t="s">
        <v>1085</v>
      </c>
      <c r="D192" s="443" t="s">
        <v>934</v>
      </c>
      <c r="E192" s="443"/>
      <c r="F192" s="443"/>
      <c r="G192" s="443"/>
      <c r="H192" s="447" t="s">
        <v>1381</v>
      </c>
      <c r="I192" s="588">
        <f>+I193</f>
        <v>305000000</v>
      </c>
      <c r="J192" s="588">
        <f t="shared" ref="J192:AB194" si="64">+J193</f>
        <v>211626200</v>
      </c>
      <c r="K192" s="588">
        <f t="shared" si="64"/>
        <v>94226200</v>
      </c>
      <c r="L192" s="588">
        <f t="shared" si="64"/>
        <v>79700000</v>
      </c>
      <c r="M192" s="588">
        <f t="shared" si="64"/>
        <v>0</v>
      </c>
      <c r="N192" s="588">
        <f t="shared" si="64"/>
        <v>0</v>
      </c>
      <c r="O192" s="588">
        <f t="shared" si="64"/>
        <v>0</v>
      </c>
      <c r="P192" s="588">
        <f t="shared" si="64"/>
        <v>0</v>
      </c>
      <c r="Q192" s="588">
        <f t="shared" si="64"/>
        <v>0</v>
      </c>
      <c r="R192" s="588">
        <f t="shared" si="64"/>
        <v>0</v>
      </c>
      <c r="S192" s="588">
        <f t="shared" si="64"/>
        <v>0</v>
      </c>
      <c r="T192" s="588">
        <f t="shared" si="64"/>
        <v>0</v>
      </c>
      <c r="U192" s="588">
        <f t="shared" si="64"/>
        <v>0</v>
      </c>
      <c r="V192" s="588">
        <f t="shared" si="64"/>
        <v>0</v>
      </c>
      <c r="W192" s="588">
        <f t="shared" si="64"/>
        <v>0</v>
      </c>
      <c r="X192" s="588">
        <f t="shared" si="64"/>
        <v>0</v>
      </c>
      <c r="Y192" s="588">
        <f t="shared" si="64"/>
        <v>305000000</v>
      </c>
      <c r="Z192" s="588">
        <f t="shared" si="64"/>
        <v>211626200</v>
      </c>
      <c r="AA192" s="588">
        <f t="shared" si="64"/>
        <v>94226200</v>
      </c>
      <c r="AB192" s="588">
        <f t="shared" si="64"/>
        <v>79700000</v>
      </c>
      <c r="AC192" s="428"/>
    </row>
    <row r="193" spans="1:29" ht="16.5" thickTop="1" thickBot="1">
      <c r="A193" s="443">
        <v>3</v>
      </c>
      <c r="B193" s="443" t="s">
        <v>854</v>
      </c>
      <c r="C193" s="443" t="s">
        <v>1085</v>
      </c>
      <c r="D193" s="443" t="s">
        <v>934</v>
      </c>
      <c r="E193" s="443" t="s">
        <v>839</v>
      </c>
      <c r="F193" s="443"/>
      <c r="G193" s="443"/>
      <c r="H193" s="447" t="s">
        <v>1342</v>
      </c>
      <c r="I193" s="588">
        <f>+I194</f>
        <v>305000000</v>
      </c>
      <c r="J193" s="588">
        <f t="shared" si="64"/>
        <v>211626200</v>
      </c>
      <c r="K193" s="588">
        <f t="shared" si="64"/>
        <v>94226200</v>
      </c>
      <c r="L193" s="588">
        <f t="shared" si="64"/>
        <v>79700000</v>
      </c>
      <c r="M193" s="588">
        <f t="shared" si="64"/>
        <v>0</v>
      </c>
      <c r="N193" s="588">
        <f t="shared" si="64"/>
        <v>0</v>
      </c>
      <c r="O193" s="588">
        <f t="shared" si="64"/>
        <v>0</v>
      </c>
      <c r="P193" s="588">
        <f t="shared" si="64"/>
        <v>0</v>
      </c>
      <c r="Q193" s="588">
        <f t="shared" si="64"/>
        <v>0</v>
      </c>
      <c r="R193" s="588">
        <f t="shared" si="64"/>
        <v>0</v>
      </c>
      <c r="S193" s="588">
        <f t="shared" si="64"/>
        <v>0</v>
      </c>
      <c r="T193" s="588">
        <f t="shared" si="64"/>
        <v>0</v>
      </c>
      <c r="U193" s="588">
        <f t="shared" si="64"/>
        <v>0</v>
      </c>
      <c r="V193" s="588">
        <f t="shared" si="64"/>
        <v>0</v>
      </c>
      <c r="W193" s="588">
        <f t="shared" si="64"/>
        <v>0</v>
      </c>
      <c r="X193" s="588">
        <f t="shared" si="64"/>
        <v>0</v>
      </c>
      <c r="Y193" s="588">
        <f t="shared" si="64"/>
        <v>305000000</v>
      </c>
      <c r="Z193" s="588">
        <f t="shared" si="64"/>
        <v>211626200</v>
      </c>
      <c r="AA193" s="588">
        <f t="shared" si="64"/>
        <v>94226200</v>
      </c>
      <c r="AB193" s="588">
        <f t="shared" si="64"/>
        <v>79700000</v>
      </c>
      <c r="AC193" s="428"/>
    </row>
    <row r="194" spans="1:29" ht="16.5" thickTop="1" thickBot="1">
      <c r="A194" s="432">
        <v>2</v>
      </c>
      <c r="B194" s="432" t="s">
        <v>854</v>
      </c>
      <c r="C194" s="433" t="s">
        <v>1085</v>
      </c>
      <c r="D194" s="433" t="s">
        <v>934</v>
      </c>
      <c r="E194" s="433" t="s">
        <v>839</v>
      </c>
      <c r="F194" s="433" t="s">
        <v>839</v>
      </c>
      <c r="G194" s="432"/>
      <c r="H194" s="448" t="s">
        <v>1336</v>
      </c>
      <c r="I194" s="582">
        <f>+I195</f>
        <v>305000000</v>
      </c>
      <c r="J194" s="582">
        <f t="shared" si="64"/>
        <v>211626200</v>
      </c>
      <c r="K194" s="582">
        <f t="shared" si="64"/>
        <v>94226200</v>
      </c>
      <c r="L194" s="582">
        <f t="shared" si="64"/>
        <v>79700000</v>
      </c>
      <c r="M194" s="582">
        <f t="shared" si="64"/>
        <v>0</v>
      </c>
      <c r="N194" s="582">
        <f t="shared" si="64"/>
        <v>0</v>
      </c>
      <c r="O194" s="582">
        <f t="shared" si="64"/>
        <v>0</v>
      </c>
      <c r="P194" s="582">
        <f t="shared" si="64"/>
        <v>0</v>
      </c>
      <c r="Q194" s="582">
        <f t="shared" si="64"/>
        <v>0</v>
      </c>
      <c r="R194" s="582">
        <f t="shared" si="64"/>
        <v>0</v>
      </c>
      <c r="S194" s="582">
        <f t="shared" si="64"/>
        <v>0</v>
      </c>
      <c r="T194" s="582">
        <f t="shared" si="64"/>
        <v>0</v>
      </c>
      <c r="U194" s="582">
        <f t="shared" si="64"/>
        <v>0</v>
      </c>
      <c r="V194" s="582">
        <f t="shared" si="64"/>
        <v>0</v>
      </c>
      <c r="W194" s="582">
        <f t="shared" si="64"/>
        <v>0</v>
      </c>
      <c r="X194" s="582">
        <f t="shared" si="64"/>
        <v>0</v>
      </c>
      <c r="Y194" s="582">
        <f t="shared" si="64"/>
        <v>305000000</v>
      </c>
      <c r="Z194" s="582">
        <f t="shared" si="64"/>
        <v>211626200</v>
      </c>
      <c r="AA194" s="582">
        <f t="shared" si="64"/>
        <v>94226200</v>
      </c>
      <c r="AB194" s="582">
        <f t="shared" si="64"/>
        <v>79700000</v>
      </c>
      <c r="AC194" s="428"/>
    </row>
    <row r="195" spans="1:29" ht="16.5" thickTop="1" thickBot="1">
      <c r="A195" s="432">
        <v>2</v>
      </c>
      <c r="B195" s="432" t="s">
        <v>854</v>
      </c>
      <c r="C195" s="433" t="s">
        <v>1085</v>
      </c>
      <c r="D195" s="433" t="s">
        <v>934</v>
      </c>
      <c r="E195" s="433" t="s">
        <v>839</v>
      </c>
      <c r="F195" s="433" t="s">
        <v>839</v>
      </c>
      <c r="G195" s="433" t="s">
        <v>839</v>
      </c>
      <c r="H195" s="448" t="s">
        <v>1337</v>
      </c>
      <c r="I195" s="582">
        <v>305000000</v>
      </c>
      <c r="J195" s="582">
        <v>211626200</v>
      </c>
      <c r="K195" s="582">
        <v>94226200</v>
      </c>
      <c r="L195" s="582">
        <v>79700000</v>
      </c>
      <c r="M195" s="582"/>
      <c r="N195" s="582"/>
      <c r="O195" s="582"/>
      <c r="P195" s="582"/>
      <c r="Q195" s="582"/>
      <c r="R195" s="582"/>
      <c r="S195" s="582"/>
      <c r="T195" s="582"/>
      <c r="U195" s="582"/>
      <c r="V195" s="582"/>
      <c r="W195" s="582"/>
      <c r="X195" s="582"/>
      <c r="Y195" s="582">
        <f>+I195+M195+Q195+U195</f>
        <v>305000000</v>
      </c>
      <c r="Z195" s="582">
        <f>+J195+N195+R195+V195</f>
        <v>211626200</v>
      </c>
      <c r="AA195" s="582">
        <f>+K195+O195+S195+W195</f>
        <v>94226200</v>
      </c>
      <c r="AB195" s="582">
        <f>+L195+P195+T195+X195</f>
        <v>79700000</v>
      </c>
      <c r="AC195" s="428"/>
    </row>
    <row r="196" spans="1:29" ht="16.5" thickTop="1" thickBot="1">
      <c r="A196" s="443">
        <v>2</v>
      </c>
      <c r="B196" s="443" t="s">
        <v>854</v>
      </c>
      <c r="C196" s="443" t="s">
        <v>1085</v>
      </c>
      <c r="D196" s="443" t="s">
        <v>938</v>
      </c>
      <c r="E196" s="443"/>
      <c r="F196" s="443"/>
      <c r="G196" s="443"/>
      <c r="H196" s="447" t="s">
        <v>1382</v>
      </c>
      <c r="I196" s="588">
        <f>+I197</f>
        <v>655000000</v>
      </c>
      <c r="J196" s="588">
        <f t="shared" ref="J196:AB198" si="65">+J197</f>
        <v>205472200</v>
      </c>
      <c r="K196" s="588">
        <f t="shared" si="65"/>
        <v>107400000</v>
      </c>
      <c r="L196" s="588">
        <f t="shared" si="65"/>
        <v>103960000</v>
      </c>
      <c r="M196" s="588">
        <f t="shared" si="65"/>
        <v>0</v>
      </c>
      <c r="N196" s="588">
        <f t="shared" si="65"/>
        <v>0</v>
      </c>
      <c r="O196" s="588">
        <f t="shared" si="65"/>
        <v>0</v>
      </c>
      <c r="P196" s="588">
        <f t="shared" si="65"/>
        <v>0</v>
      </c>
      <c r="Q196" s="588">
        <f t="shared" si="65"/>
        <v>0</v>
      </c>
      <c r="R196" s="588">
        <f t="shared" si="65"/>
        <v>0</v>
      </c>
      <c r="S196" s="588">
        <f t="shared" si="65"/>
        <v>0</v>
      </c>
      <c r="T196" s="588">
        <f t="shared" si="65"/>
        <v>0</v>
      </c>
      <c r="U196" s="588">
        <f t="shared" si="65"/>
        <v>0</v>
      </c>
      <c r="V196" s="588">
        <f t="shared" si="65"/>
        <v>0</v>
      </c>
      <c r="W196" s="588">
        <f t="shared" si="65"/>
        <v>0</v>
      </c>
      <c r="X196" s="588">
        <f t="shared" si="65"/>
        <v>0</v>
      </c>
      <c r="Y196" s="588">
        <f t="shared" si="65"/>
        <v>655000000</v>
      </c>
      <c r="Z196" s="588">
        <f t="shared" si="65"/>
        <v>205472200</v>
      </c>
      <c r="AA196" s="588">
        <f t="shared" si="65"/>
        <v>107400000</v>
      </c>
      <c r="AB196" s="588">
        <f t="shared" si="65"/>
        <v>103960000</v>
      </c>
      <c r="AC196" s="428"/>
    </row>
    <row r="197" spans="1:29" ht="16.5" thickTop="1" thickBot="1">
      <c r="A197" s="443">
        <v>3</v>
      </c>
      <c r="B197" s="443" t="s">
        <v>854</v>
      </c>
      <c r="C197" s="443" t="s">
        <v>1085</v>
      </c>
      <c r="D197" s="443" t="s">
        <v>938</v>
      </c>
      <c r="E197" s="443" t="s">
        <v>839</v>
      </c>
      <c r="F197" s="443"/>
      <c r="G197" s="443"/>
      <c r="H197" s="447" t="s">
        <v>1342</v>
      </c>
      <c r="I197" s="588">
        <f>+I198</f>
        <v>655000000</v>
      </c>
      <c r="J197" s="588">
        <f t="shared" si="65"/>
        <v>205472200</v>
      </c>
      <c r="K197" s="588">
        <f t="shared" si="65"/>
        <v>107400000</v>
      </c>
      <c r="L197" s="588">
        <f t="shared" si="65"/>
        <v>103960000</v>
      </c>
      <c r="M197" s="588">
        <f t="shared" si="65"/>
        <v>0</v>
      </c>
      <c r="N197" s="588">
        <f t="shared" si="65"/>
        <v>0</v>
      </c>
      <c r="O197" s="588">
        <f t="shared" si="65"/>
        <v>0</v>
      </c>
      <c r="P197" s="588">
        <f t="shared" si="65"/>
        <v>0</v>
      </c>
      <c r="Q197" s="588">
        <f t="shared" si="65"/>
        <v>0</v>
      </c>
      <c r="R197" s="588">
        <f t="shared" si="65"/>
        <v>0</v>
      </c>
      <c r="S197" s="588">
        <f t="shared" si="65"/>
        <v>0</v>
      </c>
      <c r="T197" s="588">
        <f t="shared" si="65"/>
        <v>0</v>
      </c>
      <c r="U197" s="588">
        <f t="shared" si="65"/>
        <v>0</v>
      </c>
      <c r="V197" s="588">
        <f t="shared" si="65"/>
        <v>0</v>
      </c>
      <c r="W197" s="588">
        <f t="shared" si="65"/>
        <v>0</v>
      </c>
      <c r="X197" s="588">
        <f t="shared" si="65"/>
        <v>0</v>
      </c>
      <c r="Y197" s="588">
        <f t="shared" si="65"/>
        <v>655000000</v>
      </c>
      <c r="Z197" s="588">
        <f t="shared" si="65"/>
        <v>205472200</v>
      </c>
      <c r="AA197" s="588">
        <f t="shared" si="65"/>
        <v>107400000</v>
      </c>
      <c r="AB197" s="588">
        <f t="shared" si="65"/>
        <v>103960000</v>
      </c>
      <c r="AC197" s="428"/>
    </row>
    <row r="198" spans="1:29" ht="16.5" thickTop="1" thickBot="1">
      <c r="A198" s="432">
        <v>2</v>
      </c>
      <c r="B198" s="432" t="s">
        <v>854</v>
      </c>
      <c r="C198" s="433" t="s">
        <v>1085</v>
      </c>
      <c r="D198" s="433" t="s">
        <v>938</v>
      </c>
      <c r="E198" s="433" t="s">
        <v>839</v>
      </c>
      <c r="F198" s="433" t="s">
        <v>839</v>
      </c>
      <c r="G198" s="432"/>
      <c r="H198" s="448" t="s">
        <v>1336</v>
      </c>
      <c r="I198" s="582">
        <f>+I199</f>
        <v>655000000</v>
      </c>
      <c r="J198" s="582">
        <f t="shared" si="65"/>
        <v>205472200</v>
      </c>
      <c r="K198" s="582">
        <f t="shared" si="65"/>
        <v>107400000</v>
      </c>
      <c r="L198" s="582">
        <f t="shared" si="65"/>
        <v>103960000</v>
      </c>
      <c r="M198" s="582">
        <f t="shared" si="65"/>
        <v>0</v>
      </c>
      <c r="N198" s="582">
        <f t="shared" si="65"/>
        <v>0</v>
      </c>
      <c r="O198" s="582">
        <f t="shared" si="65"/>
        <v>0</v>
      </c>
      <c r="P198" s="582">
        <f t="shared" si="65"/>
        <v>0</v>
      </c>
      <c r="Q198" s="582">
        <f t="shared" si="65"/>
        <v>0</v>
      </c>
      <c r="R198" s="582">
        <f t="shared" si="65"/>
        <v>0</v>
      </c>
      <c r="S198" s="582">
        <f t="shared" si="65"/>
        <v>0</v>
      </c>
      <c r="T198" s="582">
        <f t="shared" si="65"/>
        <v>0</v>
      </c>
      <c r="U198" s="582">
        <f t="shared" si="65"/>
        <v>0</v>
      </c>
      <c r="V198" s="582">
        <f t="shared" si="65"/>
        <v>0</v>
      </c>
      <c r="W198" s="582">
        <f t="shared" si="65"/>
        <v>0</v>
      </c>
      <c r="X198" s="582">
        <f t="shared" si="65"/>
        <v>0</v>
      </c>
      <c r="Y198" s="582">
        <f t="shared" si="65"/>
        <v>655000000</v>
      </c>
      <c r="Z198" s="582">
        <f t="shared" si="65"/>
        <v>205472200</v>
      </c>
      <c r="AA198" s="582">
        <f t="shared" si="65"/>
        <v>107400000</v>
      </c>
      <c r="AB198" s="582">
        <f t="shared" si="65"/>
        <v>103960000</v>
      </c>
      <c r="AC198" s="428"/>
    </row>
    <row r="199" spans="1:29" ht="16.5" thickTop="1" thickBot="1">
      <c r="A199" s="432">
        <v>2</v>
      </c>
      <c r="B199" s="432" t="s">
        <v>854</v>
      </c>
      <c r="C199" s="433" t="s">
        <v>1085</v>
      </c>
      <c r="D199" s="433" t="s">
        <v>938</v>
      </c>
      <c r="E199" s="433" t="s">
        <v>839</v>
      </c>
      <c r="F199" s="433" t="s">
        <v>839</v>
      </c>
      <c r="G199" s="433" t="s">
        <v>839</v>
      </c>
      <c r="H199" s="448" t="s">
        <v>1337</v>
      </c>
      <c r="I199" s="582">
        <v>655000000</v>
      </c>
      <c r="J199" s="582">
        <v>205472200</v>
      </c>
      <c r="K199" s="582">
        <v>107400000</v>
      </c>
      <c r="L199" s="582">
        <v>103960000</v>
      </c>
      <c r="M199" s="582"/>
      <c r="N199" s="582"/>
      <c r="O199" s="582"/>
      <c r="P199" s="582"/>
      <c r="Q199" s="582"/>
      <c r="R199" s="582"/>
      <c r="S199" s="582"/>
      <c r="T199" s="582"/>
      <c r="U199" s="582"/>
      <c r="V199" s="582"/>
      <c r="W199" s="582"/>
      <c r="X199" s="582"/>
      <c r="Y199" s="582">
        <f>+I199+M199+Q199+U199</f>
        <v>655000000</v>
      </c>
      <c r="Z199" s="582">
        <f>+J199+N199+R199+V199</f>
        <v>205472200</v>
      </c>
      <c r="AA199" s="582">
        <f>+K199+O199+S199+W199</f>
        <v>107400000</v>
      </c>
      <c r="AB199" s="582">
        <f>+L199+P199+T199+X199</f>
        <v>103960000</v>
      </c>
      <c r="AC199" s="428"/>
    </row>
    <row r="200" spans="1:29" ht="16.5" thickTop="1" thickBot="1">
      <c r="A200" s="443">
        <v>2</v>
      </c>
      <c r="B200" s="443" t="s">
        <v>854</v>
      </c>
      <c r="C200" s="443" t="s">
        <v>1085</v>
      </c>
      <c r="D200" s="443" t="s">
        <v>1079</v>
      </c>
      <c r="E200" s="443"/>
      <c r="F200" s="443"/>
      <c r="G200" s="443"/>
      <c r="H200" s="447" t="s">
        <v>1383</v>
      </c>
      <c r="I200" s="588">
        <f>+I201</f>
        <v>570000000</v>
      </c>
      <c r="J200" s="588">
        <f t="shared" ref="J200:AB202" si="66">+J201</f>
        <v>543611000</v>
      </c>
      <c r="K200" s="588">
        <f t="shared" si="66"/>
        <v>374650000</v>
      </c>
      <c r="L200" s="588">
        <f t="shared" si="66"/>
        <v>371150000</v>
      </c>
      <c r="M200" s="588">
        <f t="shared" si="66"/>
        <v>0</v>
      </c>
      <c r="N200" s="588">
        <f t="shared" si="66"/>
        <v>0</v>
      </c>
      <c r="O200" s="588">
        <f t="shared" si="66"/>
        <v>0</v>
      </c>
      <c r="P200" s="588">
        <f t="shared" si="66"/>
        <v>0</v>
      </c>
      <c r="Q200" s="588">
        <f t="shared" si="66"/>
        <v>0</v>
      </c>
      <c r="R200" s="588">
        <f t="shared" si="66"/>
        <v>0</v>
      </c>
      <c r="S200" s="588">
        <f t="shared" si="66"/>
        <v>0</v>
      </c>
      <c r="T200" s="588">
        <f t="shared" si="66"/>
        <v>0</v>
      </c>
      <c r="U200" s="588">
        <f t="shared" si="66"/>
        <v>0</v>
      </c>
      <c r="V200" s="588">
        <f t="shared" si="66"/>
        <v>0</v>
      </c>
      <c r="W200" s="588">
        <f t="shared" si="66"/>
        <v>0</v>
      </c>
      <c r="X200" s="588">
        <f t="shared" si="66"/>
        <v>0</v>
      </c>
      <c r="Y200" s="588">
        <f t="shared" si="66"/>
        <v>570000000</v>
      </c>
      <c r="Z200" s="588">
        <f t="shared" si="66"/>
        <v>543611000</v>
      </c>
      <c r="AA200" s="588">
        <f t="shared" si="66"/>
        <v>374650000</v>
      </c>
      <c r="AB200" s="588">
        <f t="shared" si="66"/>
        <v>371150000</v>
      </c>
      <c r="AC200" s="428"/>
    </row>
    <row r="201" spans="1:29" ht="16.5" thickTop="1" thickBot="1">
      <c r="A201" s="443">
        <v>3</v>
      </c>
      <c r="B201" s="443" t="s">
        <v>854</v>
      </c>
      <c r="C201" s="443" t="s">
        <v>1085</v>
      </c>
      <c r="D201" s="443" t="s">
        <v>1079</v>
      </c>
      <c r="E201" s="443" t="s">
        <v>839</v>
      </c>
      <c r="F201" s="443"/>
      <c r="G201" s="443"/>
      <c r="H201" s="447" t="s">
        <v>1342</v>
      </c>
      <c r="I201" s="588">
        <f>+I202</f>
        <v>570000000</v>
      </c>
      <c r="J201" s="588">
        <f t="shared" si="66"/>
        <v>543611000</v>
      </c>
      <c r="K201" s="588">
        <f t="shared" si="66"/>
        <v>374650000</v>
      </c>
      <c r="L201" s="588">
        <f t="shared" si="66"/>
        <v>371150000</v>
      </c>
      <c r="M201" s="588">
        <f t="shared" si="66"/>
        <v>0</v>
      </c>
      <c r="N201" s="588">
        <f t="shared" si="66"/>
        <v>0</v>
      </c>
      <c r="O201" s="588">
        <f t="shared" si="66"/>
        <v>0</v>
      </c>
      <c r="P201" s="588">
        <f t="shared" si="66"/>
        <v>0</v>
      </c>
      <c r="Q201" s="588">
        <f t="shared" si="66"/>
        <v>0</v>
      </c>
      <c r="R201" s="588">
        <f t="shared" si="66"/>
        <v>0</v>
      </c>
      <c r="S201" s="588">
        <f t="shared" si="66"/>
        <v>0</v>
      </c>
      <c r="T201" s="588">
        <f t="shared" si="66"/>
        <v>0</v>
      </c>
      <c r="U201" s="588">
        <f t="shared" si="66"/>
        <v>0</v>
      </c>
      <c r="V201" s="588">
        <f t="shared" si="66"/>
        <v>0</v>
      </c>
      <c r="W201" s="588">
        <f t="shared" si="66"/>
        <v>0</v>
      </c>
      <c r="X201" s="588">
        <f t="shared" si="66"/>
        <v>0</v>
      </c>
      <c r="Y201" s="588">
        <f t="shared" si="66"/>
        <v>570000000</v>
      </c>
      <c r="Z201" s="588">
        <f t="shared" si="66"/>
        <v>543611000</v>
      </c>
      <c r="AA201" s="588">
        <f t="shared" si="66"/>
        <v>374650000</v>
      </c>
      <c r="AB201" s="588">
        <f t="shared" si="66"/>
        <v>371150000</v>
      </c>
      <c r="AC201" s="428"/>
    </row>
    <row r="202" spans="1:29" ht="16.5" thickTop="1" thickBot="1">
      <c r="A202" s="432">
        <v>2</v>
      </c>
      <c r="B202" s="432" t="s">
        <v>854</v>
      </c>
      <c r="C202" s="433" t="s">
        <v>1085</v>
      </c>
      <c r="D202" s="433" t="s">
        <v>1079</v>
      </c>
      <c r="E202" s="433" t="s">
        <v>839</v>
      </c>
      <c r="F202" s="433" t="s">
        <v>839</v>
      </c>
      <c r="G202" s="432"/>
      <c r="H202" s="448" t="s">
        <v>1336</v>
      </c>
      <c r="I202" s="582">
        <f>+I203</f>
        <v>570000000</v>
      </c>
      <c r="J202" s="582">
        <f t="shared" si="66"/>
        <v>543611000</v>
      </c>
      <c r="K202" s="582">
        <f t="shared" si="66"/>
        <v>374650000</v>
      </c>
      <c r="L202" s="582">
        <f t="shared" si="66"/>
        <v>371150000</v>
      </c>
      <c r="M202" s="582">
        <f t="shared" si="66"/>
        <v>0</v>
      </c>
      <c r="N202" s="582">
        <f t="shared" si="66"/>
        <v>0</v>
      </c>
      <c r="O202" s="582">
        <f t="shared" si="66"/>
        <v>0</v>
      </c>
      <c r="P202" s="582">
        <f t="shared" si="66"/>
        <v>0</v>
      </c>
      <c r="Q202" s="582">
        <f t="shared" si="66"/>
        <v>0</v>
      </c>
      <c r="R202" s="582">
        <f t="shared" si="66"/>
        <v>0</v>
      </c>
      <c r="S202" s="582">
        <f t="shared" si="66"/>
        <v>0</v>
      </c>
      <c r="T202" s="582">
        <f t="shared" si="66"/>
        <v>0</v>
      </c>
      <c r="U202" s="582">
        <f t="shared" si="66"/>
        <v>0</v>
      </c>
      <c r="V202" s="582">
        <f t="shared" si="66"/>
        <v>0</v>
      </c>
      <c r="W202" s="582">
        <f t="shared" si="66"/>
        <v>0</v>
      </c>
      <c r="X202" s="582">
        <f t="shared" si="66"/>
        <v>0</v>
      </c>
      <c r="Y202" s="582">
        <f t="shared" si="66"/>
        <v>570000000</v>
      </c>
      <c r="Z202" s="582">
        <f t="shared" si="66"/>
        <v>543611000</v>
      </c>
      <c r="AA202" s="582">
        <f t="shared" si="66"/>
        <v>374650000</v>
      </c>
      <c r="AB202" s="582">
        <f t="shared" si="66"/>
        <v>371150000</v>
      </c>
      <c r="AC202" s="428"/>
    </row>
    <row r="203" spans="1:29" ht="16.5" thickTop="1" thickBot="1">
      <c r="A203" s="432">
        <v>2</v>
      </c>
      <c r="B203" s="432" t="s">
        <v>854</v>
      </c>
      <c r="C203" s="433" t="s">
        <v>1085</v>
      </c>
      <c r="D203" s="433" t="s">
        <v>1079</v>
      </c>
      <c r="E203" s="433" t="s">
        <v>839</v>
      </c>
      <c r="F203" s="433" t="s">
        <v>839</v>
      </c>
      <c r="G203" s="433" t="s">
        <v>839</v>
      </c>
      <c r="H203" s="448" t="s">
        <v>1337</v>
      </c>
      <c r="I203" s="582">
        <v>570000000</v>
      </c>
      <c r="J203" s="582">
        <v>543611000</v>
      </c>
      <c r="K203" s="582">
        <v>374650000</v>
      </c>
      <c r="L203" s="582">
        <v>371150000</v>
      </c>
      <c r="M203" s="582"/>
      <c r="N203" s="582"/>
      <c r="O203" s="582"/>
      <c r="P203" s="582"/>
      <c r="Q203" s="582"/>
      <c r="R203" s="582"/>
      <c r="S203" s="582"/>
      <c r="T203" s="582"/>
      <c r="U203" s="582"/>
      <c r="V203" s="582"/>
      <c r="W203" s="582"/>
      <c r="X203" s="582"/>
      <c r="Y203" s="582">
        <f>+I203+M203+Q203+U203</f>
        <v>570000000</v>
      </c>
      <c r="Z203" s="582">
        <f>+J203+N203+R203+V203</f>
        <v>543611000</v>
      </c>
      <c r="AA203" s="582">
        <f>+K203+O203+S203+W203</f>
        <v>374650000</v>
      </c>
      <c r="AB203" s="582">
        <f>+L203+P203+T203+X203</f>
        <v>371150000</v>
      </c>
      <c r="AC203" s="428"/>
    </row>
    <row r="204" spans="1:29" ht="16.5" thickTop="1" thickBot="1">
      <c r="A204" s="443">
        <v>2</v>
      </c>
      <c r="B204" s="443" t="s">
        <v>854</v>
      </c>
      <c r="C204" s="443" t="s">
        <v>1085</v>
      </c>
      <c r="D204" s="443">
        <v>10</v>
      </c>
      <c r="E204" s="443"/>
      <c r="F204" s="443"/>
      <c r="G204" s="443"/>
      <c r="H204" s="447" t="s">
        <v>1384</v>
      </c>
      <c r="I204" s="588">
        <f>+I205</f>
        <v>585000000</v>
      </c>
      <c r="J204" s="588">
        <f t="shared" ref="J204:AB206" si="67">+J205</f>
        <v>51250000</v>
      </c>
      <c r="K204" s="588">
        <f t="shared" si="67"/>
        <v>35600000</v>
      </c>
      <c r="L204" s="588">
        <f t="shared" si="67"/>
        <v>35600000</v>
      </c>
      <c r="M204" s="588">
        <f t="shared" si="67"/>
        <v>0</v>
      </c>
      <c r="N204" s="588">
        <f t="shared" si="67"/>
        <v>0</v>
      </c>
      <c r="O204" s="588">
        <f t="shared" si="67"/>
        <v>0</v>
      </c>
      <c r="P204" s="588">
        <f t="shared" si="67"/>
        <v>0</v>
      </c>
      <c r="Q204" s="588">
        <f t="shared" si="67"/>
        <v>0</v>
      </c>
      <c r="R204" s="588">
        <f t="shared" si="67"/>
        <v>0</v>
      </c>
      <c r="S204" s="588">
        <f t="shared" si="67"/>
        <v>0</v>
      </c>
      <c r="T204" s="588">
        <f t="shared" si="67"/>
        <v>0</v>
      </c>
      <c r="U204" s="588">
        <f t="shared" si="67"/>
        <v>0</v>
      </c>
      <c r="V204" s="588">
        <f t="shared" si="67"/>
        <v>0</v>
      </c>
      <c r="W204" s="588">
        <f t="shared" si="67"/>
        <v>0</v>
      </c>
      <c r="X204" s="588">
        <f t="shared" si="67"/>
        <v>0</v>
      </c>
      <c r="Y204" s="588">
        <f t="shared" si="67"/>
        <v>585000000</v>
      </c>
      <c r="Z204" s="588">
        <f t="shared" si="67"/>
        <v>51250000</v>
      </c>
      <c r="AA204" s="588">
        <f t="shared" si="67"/>
        <v>35600000</v>
      </c>
      <c r="AB204" s="588">
        <f t="shared" si="67"/>
        <v>35600000</v>
      </c>
      <c r="AC204" s="428"/>
    </row>
    <row r="205" spans="1:29" ht="16.5" thickTop="1" thickBot="1">
      <c r="A205" s="443">
        <v>3</v>
      </c>
      <c r="B205" s="443" t="s">
        <v>854</v>
      </c>
      <c r="C205" s="443" t="s">
        <v>1085</v>
      </c>
      <c r="D205" s="443">
        <v>10</v>
      </c>
      <c r="E205" s="443" t="s">
        <v>839</v>
      </c>
      <c r="F205" s="443"/>
      <c r="G205" s="443"/>
      <c r="H205" s="447" t="s">
        <v>1342</v>
      </c>
      <c r="I205" s="588">
        <f>+I206</f>
        <v>585000000</v>
      </c>
      <c r="J205" s="588">
        <f t="shared" si="67"/>
        <v>51250000</v>
      </c>
      <c r="K205" s="588">
        <f t="shared" si="67"/>
        <v>35600000</v>
      </c>
      <c r="L205" s="588">
        <f t="shared" si="67"/>
        <v>35600000</v>
      </c>
      <c r="M205" s="588">
        <f t="shared" si="67"/>
        <v>0</v>
      </c>
      <c r="N205" s="588">
        <f t="shared" si="67"/>
        <v>0</v>
      </c>
      <c r="O205" s="588">
        <f t="shared" si="67"/>
        <v>0</v>
      </c>
      <c r="P205" s="588">
        <f t="shared" si="67"/>
        <v>0</v>
      </c>
      <c r="Q205" s="588">
        <f t="shared" si="67"/>
        <v>0</v>
      </c>
      <c r="R205" s="588">
        <f t="shared" si="67"/>
        <v>0</v>
      </c>
      <c r="S205" s="588">
        <f t="shared" si="67"/>
        <v>0</v>
      </c>
      <c r="T205" s="588">
        <f t="shared" si="67"/>
        <v>0</v>
      </c>
      <c r="U205" s="588">
        <f t="shared" si="67"/>
        <v>0</v>
      </c>
      <c r="V205" s="588">
        <f t="shared" si="67"/>
        <v>0</v>
      </c>
      <c r="W205" s="588">
        <f t="shared" si="67"/>
        <v>0</v>
      </c>
      <c r="X205" s="588">
        <f t="shared" si="67"/>
        <v>0</v>
      </c>
      <c r="Y205" s="588">
        <f t="shared" si="67"/>
        <v>585000000</v>
      </c>
      <c r="Z205" s="588">
        <f t="shared" si="67"/>
        <v>51250000</v>
      </c>
      <c r="AA205" s="588">
        <f t="shared" si="67"/>
        <v>35600000</v>
      </c>
      <c r="AB205" s="588">
        <f t="shared" si="67"/>
        <v>35600000</v>
      </c>
      <c r="AC205" s="428"/>
    </row>
    <row r="206" spans="1:29" ht="16.5" thickTop="1" thickBot="1">
      <c r="A206" s="432">
        <v>2</v>
      </c>
      <c r="B206" s="432" t="s">
        <v>854</v>
      </c>
      <c r="C206" s="433" t="s">
        <v>1085</v>
      </c>
      <c r="D206" s="433" t="s">
        <v>1081</v>
      </c>
      <c r="E206" s="433" t="s">
        <v>839</v>
      </c>
      <c r="F206" s="433" t="s">
        <v>839</v>
      </c>
      <c r="G206" s="432"/>
      <c r="H206" s="448" t="s">
        <v>1336</v>
      </c>
      <c r="I206" s="582">
        <f>+I207</f>
        <v>585000000</v>
      </c>
      <c r="J206" s="582">
        <f t="shared" si="67"/>
        <v>51250000</v>
      </c>
      <c r="K206" s="582">
        <f t="shared" si="67"/>
        <v>35600000</v>
      </c>
      <c r="L206" s="582">
        <f t="shared" si="67"/>
        <v>35600000</v>
      </c>
      <c r="M206" s="582">
        <f t="shared" si="67"/>
        <v>0</v>
      </c>
      <c r="N206" s="582">
        <f t="shared" si="67"/>
        <v>0</v>
      </c>
      <c r="O206" s="582">
        <f t="shared" si="67"/>
        <v>0</v>
      </c>
      <c r="P206" s="582">
        <f t="shared" si="67"/>
        <v>0</v>
      </c>
      <c r="Q206" s="582">
        <f t="shared" si="67"/>
        <v>0</v>
      </c>
      <c r="R206" s="582">
        <f t="shared" si="67"/>
        <v>0</v>
      </c>
      <c r="S206" s="582">
        <f t="shared" si="67"/>
        <v>0</v>
      </c>
      <c r="T206" s="582">
        <f t="shared" si="67"/>
        <v>0</v>
      </c>
      <c r="U206" s="582">
        <f t="shared" si="67"/>
        <v>0</v>
      </c>
      <c r="V206" s="582">
        <f t="shared" si="67"/>
        <v>0</v>
      </c>
      <c r="W206" s="582">
        <f t="shared" si="67"/>
        <v>0</v>
      </c>
      <c r="X206" s="582">
        <f t="shared" si="67"/>
        <v>0</v>
      </c>
      <c r="Y206" s="582">
        <f t="shared" si="67"/>
        <v>585000000</v>
      </c>
      <c r="Z206" s="582">
        <f t="shared" si="67"/>
        <v>51250000</v>
      </c>
      <c r="AA206" s="582">
        <f t="shared" si="67"/>
        <v>35600000</v>
      </c>
      <c r="AB206" s="582">
        <f t="shared" si="67"/>
        <v>35600000</v>
      </c>
      <c r="AC206" s="428"/>
    </row>
    <row r="207" spans="1:29" ht="16.5" thickTop="1" thickBot="1">
      <c r="A207" s="432">
        <v>2</v>
      </c>
      <c r="B207" s="432" t="s">
        <v>854</v>
      </c>
      <c r="C207" s="433" t="s">
        <v>1085</v>
      </c>
      <c r="D207" s="433" t="s">
        <v>1081</v>
      </c>
      <c r="E207" s="433" t="s">
        <v>839</v>
      </c>
      <c r="F207" s="433" t="s">
        <v>839</v>
      </c>
      <c r="G207" s="433" t="s">
        <v>839</v>
      </c>
      <c r="H207" s="448" t="s">
        <v>1337</v>
      </c>
      <c r="I207" s="582">
        <v>585000000</v>
      </c>
      <c r="J207" s="582">
        <v>51250000</v>
      </c>
      <c r="K207" s="582">
        <v>35600000</v>
      </c>
      <c r="L207" s="582">
        <v>35600000</v>
      </c>
      <c r="M207" s="582"/>
      <c r="N207" s="582"/>
      <c r="O207" s="582"/>
      <c r="P207" s="582"/>
      <c r="Q207" s="582"/>
      <c r="R207" s="582"/>
      <c r="S207" s="582"/>
      <c r="T207" s="582"/>
      <c r="U207" s="582"/>
      <c r="V207" s="582"/>
      <c r="W207" s="582"/>
      <c r="X207" s="582"/>
      <c r="Y207" s="582">
        <f>+I207+M207+Q207+U207</f>
        <v>585000000</v>
      </c>
      <c r="Z207" s="582">
        <f>+J207+N207+R207+V207</f>
        <v>51250000</v>
      </c>
      <c r="AA207" s="582">
        <f>+K207+O207+S207+W207</f>
        <v>35600000</v>
      </c>
      <c r="AB207" s="582">
        <f>+L207+P207+T207+X207</f>
        <v>35600000</v>
      </c>
      <c r="AC207" s="428"/>
    </row>
    <row r="208" spans="1:29" ht="16.5" thickTop="1" thickBot="1">
      <c r="A208" s="445">
        <v>2</v>
      </c>
      <c r="B208" s="429" t="s">
        <v>854</v>
      </c>
      <c r="C208" s="429" t="s">
        <v>1173</v>
      </c>
      <c r="D208" s="429"/>
      <c r="E208" s="445"/>
      <c r="F208" s="445"/>
      <c r="G208" s="445"/>
      <c r="H208" s="446" t="s">
        <v>1385</v>
      </c>
      <c r="I208" s="592">
        <f>+I209</f>
        <v>7060050000</v>
      </c>
      <c r="J208" s="592">
        <f t="shared" ref="J208:AB211" si="68">+J209</f>
        <v>6107311808</v>
      </c>
      <c r="K208" s="592">
        <f t="shared" si="68"/>
        <v>6005320167</v>
      </c>
      <c r="L208" s="592">
        <f t="shared" si="68"/>
        <v>3863645364</v>
      </c>
      <c r="M208" s="592">
        <f t="shared" si="68"/>
        <v>0</v>
      </c>
      <c r="N208" s="592">
        <f t="shared" si="68"/>
        <v>0</v>
      </c>
      <c r="O208" s="592">
        <f t="shared" si="68"/>
        <v>0</v>
      </c>
      <c r="P208" s="592">
        <f t="shared" si="68"/>
        <v>0</v>
      </c>
      <c r="Q208" s="592">
        <f t="shared" si="68"/>
        <v>0</v>
      </c>
      <c r="R208" s="592">
        <f t="shared" si="68"/>
        <v>0</v>
      </c>
      <c r="S208" s="592">
        <f t="shared" si="68"/>
        <v>0</v>
      </c>
      <c r="T208" s="592">
        <f t="shared" si="68"/>
        <v>0</v>
      </c>
      <c r="U208" s="592">
        <f t="shared" si="68"/>
        <v>0</v>
      </c>
      <c r="V208" s="592">
        <f t="shared" si="68"/>
        <v>0</v>
      </c>
      <c r="W208" s="592">
        <f t="shared" si="68"/>
        <v>0</v>
      </c>
      <c r="X208" s="592">
        <f t="shared" si="68"/>
        <v>0</v>
      </c>
      <c r="Y208" s="592">
        <f t="shared" si="68"/>
        <v>7060050000</v>
      </c>
      <c r="Z208" s="592">
        <f t="shared" si="68"/>
        <v>6107311808</v>
      </c>
      <c r="AA208" s="592">
        <f t="shared" si="68"/>
        <v>6005320167</v>
      </c>
      <c r="AB208" s="592">
        <f t="shared" si="68"/>
        <v>3863645364</v>
      </c>
      <c r="AC208" s="428"/>
    </row>
    <row r="209" spans="1:29" ht="16.5" thickTop="1" thickBot="1">
      <c r="A209" s="443">
        <v>2</v>
      </c>
      <c r="B209" s="443" t="s">
        <v>854</v>
      </c>
      <c r="C209" s="443">
        <v>13</v>
      </c>
      <c r="D209" s="443" t="s">
        <v>839</v>
      </c>
      <c r="E209" s="443"/>
      <c r="F209" s="443"/>
      <c r="G209" s="443"/>
      <c r="H209" s="447" t="s">
        <v>1386</v>
      </c>
      <c r="I209" s="588">
        <f>+I210</f>
        <v>7060050000</v>
      </c>
      <c r="J209" s="588">
        <f t="shared" si="68"/>
        <v>6107311808</v>
      </c>
      <c r="K209" s="588">
        <f t="shared" si="68"/>
        <v>6005320167</v>
      </c>
      <c r="L209" s="588">
        <f t="shared" si="68"/>
        <v>3863645364</v>
      </c>
      <c r="M209" s="588">
        <f t="shared" si="68"/>
        <v>0</v>
      </c>
      <c r="N209" s="588">
        <f t="shared" si="68"/>
        <v>0</v>
      </c>
      <c r="O209" s="588">
        <f t="shared" si="68"/>
        <v>0</v>
      </c>
      <c r="P209" s="588">
        <f t="shared" si="68"/>
        <v>0</v>
      </c>
      <c r="Q209" s="588">
        <f t="shared" si="68"/>
        <v>0</v>
      </c>
      <c r="R209" s="588">
        <f t="shared" si="68"/>
        <v>0</v>
      </c>
      <c r="S209" s="588">
        <f t="shared" si="68"/>
        <v>0</v>
      </c>
      <c r="T209" s="588">
        <f t="shared" si="68"/>
        <v>0</v>
      </c>
      <c r="U209" s="588">
        <f t="shared" si="68"/>
        <v>0</v>
      </c>
      <c r="V209" s="588">
        <f t="shared" si="68"/>
        <v>0</v>
      </c>
      <c r="W209" s="588">
        <f t="shared" si="68"/>
        <v>0</v>
      </c>
      <c r="X209" s="588">
        <f t="shared" si="68"/>
        <v>0</v>
      </c>
      <c r="Y209" s="588">
        <f t="shared" si="68"/>
        <v>7060050000</v>
      </c>
      <c r="Z209" s="588">
        <f t="shared" si="68"/>
        <v>6107311808</v>
      </c>
      <c r="AA209" s="588">
        <f t="shared" si="68"/>
        <v>6005320167</v>
      </c>
      <c r="AB209" s="588">
        <f t="shared" si="68"/>
        <v>3863645364</v>
      </c>
      <c r="AC209" s="428"/>
    </row>
    <row r="210" spans="1:29" ht="16.5" thickTop="1" thickBot="1">
      <c r="A210" s="443">
        <v>3</v>
      </c>
      <c r="B210" s="443" t="s">
        <v>854</v>
      </c>
      <c r="C210" s="443">
        <v>13</v>
      </c>
      <c r="D210" s="443" t="s">
        <v>839</v>
      </c>
      <c r="E210" s="443" t="s">
        <v>839</v>
      </c>
      <c r="F210" s="443"/>
      <c r="G210" s="443"/>
      <c r="H210" s="447" t="s">
        <v>1342</v>
      </c>
      <c r="I210" s="588">
        <f>+I211</f>
        <v>7060050000</v>
      </c>
      <c r="J210" s="588">
        <f t="shared" si="68"/>
        <v>6107311808</v>
      </c>
      <c r="K210" s="588">
        <f t="shared" si="68"/>
        <v>6005320167</v>
      </c>
      <c r="L210" s="588">
        <f t="shared" si="68"/>
        <v>3863645364</v>
      </c>
      <c r="M210" s="588">
        <f t="shared" si="68"/>
        <v>0</v>
      </c>
      <c r="N210" s="588">
        <f t="shared" si="68"/>
        <v>0</v>
      </c>
      <c r="O210" s="588">
        <f t="shared" si="68"/>
        <v>0</v>
      </c>
      <c r="P210" s="588">
        <f t="shared" si="68"/>
        <v>0</v>
      </c>
      <c r="Q210" s="588">
        <f t="shared" si="68"/>
        <v>0</v>
      </c>
      <c r="R210" s="588">
        <f t="shared" si="68"/>
        <v>0</v>
      </c>
      <c r="S210" s="588">
        <f t="shared" si="68"/>
        <v>0</v>
      </c>
      <c r="T210" s="588">
        <f t="shared" si="68"/>
        <v>0</v>
      </c>
      <c r="U210" s="588">
        <f t="shared" si="68"/>
        <v>0</v>
      </c>
      <c r="V210" s="588">
        <f t="shared" si="68"/>
        <v>0</v>
      </c>
      <c r="W210" s="588">
        <f t="shared" si="68"/>
        <v>0</v>
      </c>
      <c r="X210" s="588">
        <f t="shared" si="68"/>
        <v>0</v>
      </c>
      <c r="Y210" s="588">
        <f t="shared" si="68"/>
        <v>7060050000</v>
      </c>
      <c r="Z210" s="588">
        <f t="shared" si="68"/>
        <v>6107311808</v>
      </c>
      <c r="AA210" s="588">
        <f t="shared" si="68"/>
        <v>6005320167</v>
      </c>
      <c r="AB210" s="588">
        <f t="shared" si="68"/>
        <v>3863645364</v>
      </c>
      <c r="AC210" s="428"/>
    </row>
    <row r="211" spans="1:29" ht="16.5" thickTop="1" thickBot="1">
      <c r="A211" s="432">
        <v>2</v>
      </c>
      <c r="B211" s="432" t="s">
        <v>854</v>
      </c>
      <c r="C211" s="433" t="s">
        <v>1173</v>
      </c>
      <c r="D211" s="433" t="s">
        <v>839</v>
      </c>
      <c r="E211" s="433" t="s">
        <v>839</v>
      </c>
      <c r="F211" s="433" t="s">
        <v>839</v>
      </c>
      <c r="G211" s="432"/>
      <c r="H211" s="448" t="s">
        <v>1336</v>
      </c>
      <c r="I211" s="582">
        <f>+I212</f>
        <v>7060050000</v>
      </c>
      <c r="J211" s="582">
        <f t="shared" si="68"/>
        <v>6107311808</v>
      </c>
      <c r="K211" s="582">
        <f t="shared" si="68"/>
        <v>6005320167</v>
      </c>
      <c r="L211" s="582">
        <f t="shared" si="68"/>
        <v>3863645364</v>
      </c>
      <c r="M211" s="582">
        <f t="shared" si="68"/>
        <v>0</v>
      </c>
      <c r="N211" s="582">
        <f t="shared" si="68"/>
        <v>0</v>
      </c>
      <c r="O211" s="582">
        <f t="shared" si="68"/>
        <v>0</v>
      </c>
      <c r="P211" s="582">
        <f t="shared" si="68"/>
        <v>0</v>
      </c>
      <c r="Q211" s="582">
        <f t="shared" si="68"/>
        <v>0</v>
      </c>
      <c r="R211" s="582">
        <f t="shared" si="68"/>
        <v>0</v>
      </c>
      <c r="S211" s="582">
        <f t="shared" si="68"/>
        <v>0</v>
      </c>
      <c r="T211" s="582">
        <f t="shared" si="68"/>
        <v>0</v>
      </c>
      <c r="U211" s="582">
        <f t="shared" si="68"/>
        <v>0</v>
      </c>
      <c r="V211" s="582">
        <f t="shared" si="68"/>
        <v>0</v>
      </c>
      <c r="W211" s="582">
        <f t="shared" si="68"/>
        <v>0</v>
      </c>
      <c r="X211" s="582">
        <f t="shared" si="68"/>
        <v>0</v>
      </c>
      <c r="Y211" s="582">
        <f t="shared" si="68"/>
        <v>7060050000</v>
      </c>
      <c r="Z211" s="582">
        <f t="shared" si="68"/>
        <v>6107311808</v>
      </c>
      <c r="AA211" s="582">
        <f t="shared" si="68"/>
        <v>6005320167</v>
      </c>
      <c r="AB211" s="582">
        <f t="shared" si="68"/>
        <v>3863645364</v>
      </c>
      <c r="AC211" s="428"/>
    </row>
    <row r="212" spans="1:29" ht="16.5" thickTop="1" thickBot="1">
      <c r="A212" s="432">
        <v>2</v>
      </c>
      <c r="B212" s="432" t="s">
        <v>854</v>
      </c>
      <c r="C212" s="433" t="s">
        <v>1173</v>
      </c>
      <c r="D212" s="433" t="s">
        <v>839</v>
      </c>
      <c r="E212" s="433" t="s">
        <v>839</v>
      </c>
      <c r="F212" s="433" t="s">
        <v>839</v>
      </c>
      <c r="G212" s="433" t="s">
        <v>839</v>
      </c>
      <c r="H212" s="448" t="s">
        <v>1337</v>
      </c>
      <c r="I212" s="582">
        <v>7060050000</v>
      </c>
      <c r="J212" s="582">
        <v>6107311808</v>
      </c>
      <c r="K212" s="582">
        <v>6005320167</v>
      </c>
      <c r="L212" s="582">
        <v>3863645364</v>
      </c>
      <c r="M212" s="582"/>
      <c r="N212" s="582"/>
      <c r="O212" s="582"/>
      <c r="P212" s="582"/>
      <c r="Q212" s="582"/>
      <c r="R212" s="582"/>
      <c r="S212" s="582"/>
      <c r="T212" s="582"/>
      <c r="U212" s="582"/>
      <c r="V212" s="582"/>
      <c r="W212" s="582"/>
      <c r="X212" s="582"/>
      <c r="Y212" s="582">
        <f t="shared" ref="Y212:AB213" si="69">+I212+M212+Q212+U212</f>
        <v>7060050000</v>
      </c>
      <c r="Z212" s="582">
        <f t="shared" si="69"/>
        <v>6107311808</v>
      </c>
      <c r="AA212" s="582">
        <f t="shared" si="69"/>
        <v>6005320167</v>
      </c>
      <c r="AB212" s="582">
        <f t="shared" si="69"/>
        <v>3863645364</v>
      </c>
      <c r="AC212" s="428"/>
    </row>
    <row r="213" spans="1:29" ht="16.5" thickTop="1" thickBot="1">
      <c r="A213" s="451"/>
      <c r="B213" s="451"/>
      <c r="C213" s="452"/>
      <c r="D213" s="452"/>
      <c r="E213" s="452"/>
      <c r="F213" s="452"/>
      <c r="G213" s="452"/>
      <c r="H213" s="453" t="s">
        <v>1387</v>
      </c>
      <c r="I213" s="594">
        <f t="shared" ref="I213:X213" si="70">+I46+I36+I3</f>
        <v>110763490321.09999</v>
      </c>
      <c r="J213" s="594">
        <f t="shared" si="70"/>
        <v>78764400278.059998</v>
      </c>
      <c r="K213" s="594">
        <f t="shared" si="70"/>
        <v>58578847810</v>
      </c>
      <c r="L213" s="594">
        <f t="shared" si="70"/>
        <v>55115855593</v>
      </c>
      <c r="M213" s="594">
        <f t="shared" si="70"/>
        <v>2133500000</v>
      </c>
      <c r="N213" s="594">
        <f t="shared" si="70"/>
        <v>2123400000</v>
      </c>
      <c r="O213" s="594">
        <f t="shared" si="70"/>
        <v>2123400000</v>
      </c>
      <c r="P213" s="594">
        <f t="shared" si="70"/>
        <v>2123400000</v>
      </c>
      <c r="Q213" s="594">
        <f t="shared" si="70"/>
        <v>0</v>
      </c>
      <c r="R213" s="594">
        <f t="shared" si="70"/>
        <v>0</v>
      </c>
      <c r="S213" s="594">
        <f t="shared" si="70"/>
        <v>0</v>
      </c>
      <c r="T213" s="594">
        <f t="shared" si="70"/>
        <v>0</v>
      </c>
      <c r="U213" s="594">
        <f t="shared" si="70"/>
        <v>0</v>
      </c>
      <c r="V213" s="594">
        <f t="shared" si="70"/>
        <v>0</v>
      </c>
      <c r="W213" s="594">
        <f t="shared" si="70"/>
        <v>0</v>
      </c>
      <c r="X213" s="594">
        <f t="shared" si="70"/>
        <v>0</v>
      </c>
      <c r="Y213" s="594">
        <f t="shared" si="69"/>
        <v>112896990321.09999</v>
      </c>
      <c r="Z213" s="594">
        <f t="shared" si="69"/>
        <v>80887800278.059998</v>
      </c>
      <c r="AA213" s="594">
        <f t="shared" si="69"/>
        <v>60702247810</v>
      </c>
      <c r="AB213" s="695">
        <f t="shared" si="69"/>
        <v>57239255593</v>
      </c>
      <c r="AC213" s="428"/>
    </row>
    <row r="214" spans="1:29" ht="15.75" thickTop="1"/>
    <row r="218" spans="1:29">
      <c r="AA218" s="696"/>
    </row>
  </sheetData>
  <mergeCells count="13">
    <mergeCell ref="Q1:T1"/>
    <mergeCell ref="U1:X1"/>
    <mergeCell ref="Y1:AB1"/>
    <mergeCell ref="F1:F2"/>
    <mergeCell ref="G1:G2"/>
    <mergeCell ref="H1:H2"/>
    <mergeCell ref="I1:L1"/>
    <mergeCell ref="M1:P1"/>
    <mergeCell ref="A1:A2"/>
    <mergeCell ref="B1:B2"/>
    <mergeCell ref="C1:C2"/>
    <mergeCell ref="D1:D2"/>
    <mergeCell ref="E1:E2"/>
  </mergeCells>
  <printOptions horizontalCentered="1" verticalCentered="1"/>
  <pageMargins left="0.78740157480314965" right="0.78740157480314965" top="0.98425196850393704" bottom="0.98425196850393704" header="0" footer="0"/>
  <pageSetup paperSize="9" scale="8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3"/>
  <sheetViews>
    <sheetView workbookViewId="0">
      <selection activeCell="B8" sqref="B8"/>
    </sheetView>
  </sheetViews>
  <sheetFormatPr defaultColWidth="11.42578125" defaultRowHeight="15"/>
  <cols>
    <col min="1" max="1" width="50.28515625" style="422" customWidth="1"/>
    <col min="2" max="2" width="68.42578125" style="422" customWidth="1"/>
    <col min="3" max="16384" width="11.42578125" style="422"/>
  </cols>
  <sheetData>
    <row r="1" spans="1:2" ht="15.75" thickBot="1">
      <c r="A1" s="982"/>
      <c r="B1" s="982"/>
    </row>
    <row r="2" spans="1:2" ht="15.75" thickBot="1">
      <c r="A2" s="991" t="s">
        <v>1388</v>
      </c>
      <c r="B2" s="983"/>
    </row>
    <row r="3" spans="1:2" ht="15.75" thickBot="1">
      <c r="A3" s="984" t="s">
        <v>764</v>
      </c>
      <c r="B3" s="985"/>
    </row>
    <row r="4" spans="1:2" ht="15.75" thickBot="1">
      <c r="A4" s="455" t="s">
        <v>1248</v>
      </c>
      <c r="B4" s="455" t="s">
        <v>766</v>
      </c>
    </row>
    <row r="5" spans="1:2" ht="26.25" thickBot="1">
      <c r="A5" s="456" t="s">
        <v>1249</v>
      </c>
      <c r="B5" s="457" t="s">
        <v>1250</v>
      </c>
    </row>
    <row r="6" spans="1:2" ht="16.5" thickTop="1" thickBot="1">
      <c r="A6" s="458" t="s">
        <v>1251</v>
      </c>
      <c r="B6" s="457" t="s">
        <v>1389</v>
      </c>
    </row>
    <row r="7" spans="1:2" ht="78" thickTop="1" thickBot="1">
      <c r="A7" s="465" t="s">
        <v>1390</v>
      </c>
      <c r="B7" s="457" t="s">
        <v>1391</v>
      </c>
    </row>
    <row r="8" spans="1:2" ht="90.75" thickTop="1" thickBot="1">
      <c r="A8" s="465" t="s">
        <v>1392</v>
      </c>
      <c r="B8" s="457" t="s">
        <v>1393</v>
      </c>
    </row>
    <row r="9" spans="1:2" ht="90.75" thickTop="1" thickBot="1">
      <c r="A9" s="465" t="s">
        <v>1394</v>
      </c>
      <c r="B9" s="457" t="s">
        <v>1395</v>
      </c>
    </row>
    <row r="10" spans="1:2" ht="90.75" thickTop="1" thickBot="1">
      <c r="A10" s="465" t="s">
        <v>1396</v>
      </c>
      <c r="B10" s="457" t="s">
        <v>1397</v>
      </c>
    </row>
    <row r="11" spans="1:2" ht="27" thickTop="1" thickBot="1">
      <c r="A11" s="465" t="s">
        <v>1398</v>
      </c>
      <c r="B11" s="457" t="s">
        <v>1399</v>
      </c>
    </row>
    <row r="12" spans="1:2" ht="27" thickTop="1" thickBot="1">
      <c r="A12" s="465" t="s">
        <v>1400</v>
      </c>
      <c r="B12" s="457" t="s">
        <v>1276</v>
      </c>
    </row>
    <row r="13" spans="1:2" ht="15.75" thickTop="1"/>
  </sheetData>
  <mergeCells count="3">
    <mergeCell ref="A1:B1"/>
    <mergeCell ref="A2:B2"/>
    <mergeCell ref="A3: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2"/>
  <sheetViews>
    <sheetView showGridLines="0" zoomScale="96" zoomScaleNormal="96" workbookViewId="0">
      <pane ySplit="5" topLeftCell="A24" activePane="bottomLeft" state="frozen"/>
      <selection pane="bottomLeft" activeCell="C4" sqref="C4"/>
      <selection activeCell="D4" sqref="D4"/>
    </sheetView>
  </sheetViews>
  <sheetFormatPr defaultColWidth="10.7109375" defaultRowHeight="15"/>
  <cols>
    <col min="1" max="1" width="3.5703125" bestFit="1" customWidth="1"/>
    <col min="2" max="2" width="62.42578125" customWidth="1"/>
    <col min="3" max="3" width="16.140625" customWidth="1"/>
    <col min="4" max="6" width="6.140625" customWidth="1"/>
    <col min="7" max="7" width="3.5703125" customWidth="1"/>
    <col min="8" max="8" width="6.140625" style="241" hidden="1" customWidth="1"/>
    <col min="9" max="9" width="5.42578125" style="241" hidden="1" customWidth="1"/>
    <col min="10" max="10" width="7" style="241" hidden="1" customWidth="1"/>
    <col min="11" max="11" width="4.28515625" hidden="1" customWidth="1"/>
    <col min="12" max="12" width="15" style="241" customWidth="1"/>
    <col min="13" max="14" width="22.42578125" style="241" customWidth="1"/>
    <col min="15" max="15" width="1.85546875" style="241" customWidth="1"/>
  </cols>
  <sheetData>
    <row r="1" spans="1:18" s="333" customFormat="1" ht="130.5" customHeight="1" thickBot="1">
      <c r="A1" s="992"/>
      <c r="B1" s="993"/>
      <c r="C1" s="993"/>
      <c r="D1" s="993"/>
      <c r="E1" s="993"/>
      <c r="F1" s="993"/>
      <c r="G1" s="993"/>
      <c r="H1" s="993"/>
      <c r="I1" s="993"/>
      <c r="J1" s="993"/>
      <c r="K1" s="993"/>
      <c r="L1" s="993"/>
      <c r="M1" s="993"/>
      <c r="N1" s="993"/>
      <c r="O1" s="993"/>
      <c r="P1" s="994"/>
      <c r="Q1" s="241"/>
      <c r="R1" s="241"/>
    </row>
    <row r="2" spans="1:18" s="334" customFormat="1" ht="16.5" thickBot="1">
      <c r="A2" s="1000" t="str">
        <f>'Datos Generales'!C5</f>
        <v>Corporación Autónoma Regional del Atlántico – CRA</v>
      </c>
      <c r="B2" s="1001"/>
      <c r="C2" s="1001"/>
      <c r="D2" s="1001"/>
      <c r="E2" s="1001"/>
      <c r="F2" s="1001"/>
      <c r="G2" s="1001"/>
      <c r="H2" s="1001"/>
      <c r="I2" s="1001"/>
      <c r="J2" s="1001"/>
      <c r="K2" s="1001"/>
      <c r="L2" s="1001"/>
      <c r="M2" s="1001"/>
      <c r="N2" s="1001"/>
      <c r="O2" s="1001"/>
      <c r="P2" s="1002"/>
      <c r="Q2" s="241"/>
      <c r="R2" s="241"/>
    </row>
    <row r="3" spans="1:18" s="334" customFormat="1" ht="16.5" thickBot="1">
      <c r="A3" s="995" t="s">
        <v>1401</v>
      </c>
      <c r="B3" s="996"/>
      <c r="C3" s="996"/>
      <c r="D3" s="996"/>
      <c r="E3" s="996"/>
      <c r="F3" s="996"/>
      <c r="G3" s="996"/>
      <c r="H3" s="996"/>
      <c r="I3" s="996"/>
      <c r="J3" s="996"/>
      <c r="K3" s="996"/>
      <c r="L3" s="996"/>
      <c r="M3" s="996"/>
      <c r="N3" s="996"/>
      <c r="O3" s="996"/>
      <c r="P3" s="997"/>
      <c r="Q3" s="241"/>
      <c r="R3" s="241"/>
    </row>
    <row r="4" spans="1:18" s="334" customFormat="1" ht="30.75" customHeight="1" thickBot="1">
      <c r="A4" s="998" t="s">
        <v>55</v>
      </c>
      <c r="B4" s="999"/>
      <c r="C4" s="370" t="str">
        <f>'Datos Generales'!C6</f>
        <v>2020-II</v>
      </c>
      <c r="D4" s="370"/>
      <c r="E4" s="370"/>
      <c r="F4" s="370"/>
      <c r="G4" s="370"/>
      <c r="H4" s="370"/>
      <c r="I4" s="370"/>
      <c r="J4" s="370"/>
      <c r="K4" s="370"/>
      <c r="L4" s="372"/>
      <c r="M4" s="372"/>
      <c r="N4" s="372"/>
      <c r="O4" s="372"/>
      <c r="P4" s="373"/>
      <c r="Q4" s="241"/>
      <c r="R4" s="241"/>
    </row>
    <row r="5" spans="1:18" ht="30" customHeight="1">
      <c r="A5" s="310" t="s">
        <v>1402</v>
      </c>
      <c r="B5" s="310" t="s">
        <v>1403</v>
      </c>
      <c r="C5" s="311">
        <v>2020</v>
      </c>
      <c r="D5" s="313">
        <v>2021</v>
      </c>
      <c r="E5" s="313">
        <v>2022</v>
      </c>
      <c r="F5" s="313">
        <v>2023</v>
      </c>
      <c r="G5" s="241"/>
      <c r="H5" s="308" t="s">
        <v>1404</v>
      </c>
      <c r="I5" s="308" t="s">
        <v>1405</v>
      </c>
      <c r="J5" s="308" t="s">
        <v>1406</v>
      </c>
      <c r="K5" s="241"/>
      <c r="L5" s="309" t="s">
        <v>1407</v>
      </c>
      <c r="M5" s="309" t="s">
        <v>1408</v>
      </c>
      <c r="N5" s="316" t="s">
        <v>1406</v>
      </c>
      <c r="O5" s="319" t="s">
        <v>154</v>
      </c>
      <c r="P5" s="317"/>
      <c r="Q5" s="241"/>
      <c r="R5" s="241"/>
    </row>
    <row r="6" spans="1:18" ht="45" customHeight="1">
      <c r="A6" s="219" t="s">
        <v>1409</v>
      </c>
      <c r="B6" s="220" t="s">
        <v>727</v>
      </c>
      <c r="C6" s="328" t="str">
        <f>+'1POMCAS'!D8</f>
        <v>N.A.</v>
      </c>
      <c r="D6" s="314"/>
      <c r="E6" s="315"/>
      <c r="F6" s="315"/>
      <c r="G6" s="241"/>
      <c r="H6" s="312">
        <f>'1POMCAS'!F11</f>
        <v>0</v>
      </c>
      <c r="I6" s="312" t="str">
        <f>+'1POMCAS'!E12</f>
        <v>1. LÍNEA ESTRATÉGICA EN SOSTENIBILIDAD HÍDRICA; PROGRAMA 1.1. PLANIFICACION, ADMINISTRACION Y GESTION DEL RECURSO HIDRICO PARA LA PROTECCION DE LOS ECOSISTEMAS</v>
      </c>
      <c r="J6" s="312" t="str">
        <f>+'1POMCAS'!E13</f>
        <v>Durante la vigencia 2020 se realizó la recopilación de la información, encontrándose en la Fase de los Procesos Formales Previos del Plan de Ordenación y Manejo de Cuencas Hidrográfica de la Cuenca de Mar Caribe,  se logró recopilar la información existente en la Corporación. 
Durante la vigencia 2020 tuvimos un avance del 98% de la meta programada, hemos realizado actividades de socialización de los resultados del Plan de Ordenación y Manejo de la Cuenca Hidrográfica “COMPLEJO DE HUMEDALES DE LA VERTIENTE OCCIDENTAL DEL RÍO MAGDALENA EN EL DEPARTAMENTO DEL ATLÁNTICO”, el cual se viene ajustando mediante el Contrato No. 00386 de 2016.
logramos cumplir con el 100% del avance programado para la vigencia; es decir, alcanzamos una implementación del 10% del Plan de Ordenación y manejo de la cuenca hidrográfica de la Ciénaga de Mallorquín y los Arroyos Grande y León, el cual se logró con la implementación del Programa No1. ADMINISTRACION Y GESTION DEL RECURSO HIDRICO, subprograma PLAN MAESTRO DE DRENAJES PLUVIALES, del Plan de Ordenación y manejo de la Cuenca hidrográfica de la ciénaga de Mallorquín.
se logró un avance del 10% de la meta, representado en la celebración del Contrato N°375 de 2020 cuyo objeto contractual es: “ELABORAR EL PLAN DE MANEJO DE LA CIÉNAGA DE MALLORQUIN Y LA ACTUALIZACIÓN DE LOS ESTUDIOS PARA EL MANEJO INTEGRADO DE LOS MANGLARES DEL DEPARTAMENTO DEL ATLÁNTICO EN CUMPLIMIENTO DE LO ESTABLECIDO EN EL PLAN DE ACCIÓN INSTITUCIONAL 2020-2023”.</v>
      </c>
      <c r="K6" s="241"/>
      <c r="L6" s="330">
        <f t="shared" ref="L6:L32" si="0">IF(ISNUMBER(C6),"",H6)</f>
        <v>0</v>
      </c>
      <c r="M6" s="330" t="str">
        <f t="shared" ref="M6:M32" si="1">IF(ISNUMBER(I6),"",I6)</f>
        <v>1. LÍNEA ESTRATÉGICA EN SOSTENIBILIDAD HÍDRICA; PROGRAMA 1.1. PLANIFICACION, ADMINISTRACION Y GESTION DEL RECURSO HIDRICO PARA LA PROTECCION DE LOS ECOSISTEMAS</v>
      </c>
      <c r="N6" s="331" t="str">
        <f t="shared" ref="N6:N32" si="2">IF(ISNUMBER(J6),"",J6)</f>
        <v>Durante la vigencia 2020 se realizó la recopilación de la información, encontrándose en la Fase de los Procesos Formales Previos del Plan de Ordenación y Manejo de Cuencas Hidrográfica de la Cuenca de Mar Caribe,  se logró recopilar la información existente en la Corporación. 
Durante la vigencia 2020 tuvimos un avance del 98% de la meta programada, hemos realizado actividades de socialización de los resultados del Plan de Ordenación y Manejo de la Cuenca Hidrográfica “COMPLEJO DE HUMEDALES DE LA VERTIENTE OCCIDENTAL DEL RÍO MAGDALENA EN EL DEPARTAMENTO DEL ATLÁNTICO”, el cual se viene ajustando mediante el Contrato No. 00386 de 2016.
logramos cumplir con el 100% del avance programado para la vigencia; es decir, alcanzamos una implementación del 10% del Plan de Ordenación y manejo de la cuenca hidrográfica de la Ciénaga de Mallorquín y los Arroyos Grande y León, el cual se logró con la implementación del Programa No1. ADMINISTRACION Y GESTION DEL RECURSO HIDRICO, subprograma PLAN MAESTRO DE DRENAJES PLUVIALES, del Plan de Ordenación y manejo de la Cuenca hidrográfica de la ciénaga de Mallorquín.
se logró un avance del 10% de la meta, representado en la celebración del Contrato N°375 de 2020 cuyo objeto contractual es: “ELABORAR EL PLAN DE MANEJO DE LA CIÉNAGA DE MALLORQUIN Y LA ACTUALIZACIÓN DE LOS ESTUDIOS PARA EL MANEJO INTEGRADO DE LOS MANGLARES DEL DEPARTAMENTO DEL ATLÁNTICO EN CUMPLIMIENTO DE LO ESTABLECIDO EN EL PLAN DE ACCIÓN INSTITUCIONAL 2020-2023”.</v>
      </c>
      <c r="O6" s="320" t="s">
        <v>154</v>
      </c>
      <c r="P6" s="318"/>
      <c r="Q6" s="241"/>
      <c r="R6" s="241"/>
    </row>
    <row r="7" spans="1:18" ht="96">
      <c r="A7" s="219" t="s">
        <v>1410</v>
      </c>
      <c r="B7" s="220" t="s">
        <v>729</v>
      </c>
      <c r="C7" s="329">
        <f>+'2PORH'!D8</f>
        <v>1</v>
      </c>
      <c r="D7" s="315"/>
      <c r="E7" s="315"/>
      <c r="F7" s="315"/>
      <c r="G7" s="241"/>
      <c r="H7" s="312">
        <f>+'2PORH'!F11</f>
        <v>0</v>
      </c>
      <c r="I7" s="312" t="str">
        <f>+'2PORH'!E12</f>
        <v>Línea Estratégica Sostenibilidad del Recurso Hídrico - Programa: Planificación, Administración y Gestión del Recurso Hídrico para la Protección de los Ecosistemas.</v>
      </c>
      <c r="J7" s="312">
        <f>+'2PORH'!E13</f>
        <v>0</v>
      </c>
      <c r="K7" s="241"/>
      <c r="L7" s="330" t="str">
        <f t="shared" si="0"/>
        <v/>
      </c>
      <c r="M7" s="330" t="str">
        <f t="shared" si="1"/>
        <v>Línea Estratégica Sostenibilidad del Recurso Hídrico - Programa: Planificación, Administración y Gestión del Recurso Hídrico para la Protección de los Ecosistemas.</v>
      </c>
      <c r="N7" s="331" t="str">
        <f t="shared" si="2"/>
        <v/>
      </c>
      <c r="O7" s="320" t="s">
        <v>154</v>
      </c>
      <c r="P7" s="318"/>
      <c r="Q7" s="241"/>
      <c r="R7" s="241"/>
    </row>
    <row r="8" spans="1:18" ht="48">
      <c r="A8" s="219" t="s">
        <v>1411</v>
      </c>
      <c r="B8" s="220" t="s">
        <v>731</v>
      </c>
      <c r="C8" s="329">
        <f>+'3PSMV'!D8</f>
        <v>1</v>
      </c>
      <c r="D8" s="315"/>
      <c r="E8" s="315"/>
      <c r="F8" s="315"/>
      <c r="G8" s="241"/>
      <c r="H8" s="312">
        <f>+'3PSMV'!F11</f>
        <v>0</v>
      </c>
      <c r="I8" s="312" t="str">
        <f>+'3PSMV'!E12</f>
        <v xml:space="preserve">1. LÍNEA ESTRATÉGICA EN SOSTENIBILIDAD HÍDRICA  - 4. LÍNEA SOSTENIBILIDAD SECTORIAL </v>
      </c>
      <c r="J8" s="312">
        <f>+'3PSMV'!E13</f>
        <v>0</v>
      </c>
      <c r="K8" s="241"/>
      <c r="L8" s="330" t="str">
        <f t="shared" si="0"/>
        <v/>
      </c>
      <c r="M8" s="330" t="str">
        <f t="shared" si="1"/>
        <v xml:space="preserve">1. LÍNEA ESTRATÉGICA EN SOSTENIBILIDAD HÍDRICA  - 4. LÍNEA SOSTENIBILIDAD SECTORIAL </v>
      </c>
      <c r="N8" s="331" t="str">
        <f t="shared" si="2"/>
        <v/>
      </c>
      <c r="O8" s="320" t="s">
        <v>154</v>
      </c>
      <c r="P8" s="318"/>
      <c r="Q8" s="241"/>
      <c r="R8" s="241"/>
    </row>
    <row r="9" spans="1:18" ht="108">
      <c r="A9" s="219" t="s">
        <v>1412</v>
      </c>
      <c r="B9" s="220" t="s">
        <v>733</v>
      </c>
      <c r="C9" s="329" t="str">
        <f>+'4UsoAguas'!D8</f>
        <v>N.A.</v>
      </c>
      <c r="D9" s="315"/>
      <c r="E9" s="315"/>
      <c r="F9" s="315"/>
      <c r="G9" s="241"/>
      <c r="H9" s="312">
        <f>+'4UsoAguas'!F11</f>
        <v>0</v>
      </c>
      <c r="I9" s="312" t="str">
        <f>+'4UsoAguas'!E12</f>
        <v>1. LÍNEA ESTRATÉGICA EN SOSTENIBILIDAD HÍDRICA</v>
      </c>
      <c r="J9" s="312" t="str">
        <f>+'4UsoAguas'!E13</f>
        <v xml:space="preserve"> El Departamento del Atlantico no tiene corrientes permanentes con excepción del Rio Magdalena.Se actualizará el índice del Uso de Agua para el Departamento del Atlántico, ya que éste fue construido en el año 2013.</v>
      </c>
      <c r="K9" s="241"/>
      <c r="L9" s="330">
        <f t="shared" si="0"/>
        <v>0</v>
      </c>
      <c r="M9" s="330" t="str">
        <f t="shared" si="1"/>
        <v>1. LÍNEA ESTRATÉGICA EN SOSTENIBILIDAD HÍDRICA</v>
      </c>
      <c r="N9" s="331" t="str">
        <f t="shared" si="2"/>
        <v xml:space="preserve"> El Departamento del Atlantico no tiene corrientes permanentes con excepción del Rio Magdalena.Se actualizará el índice del Uso de Agua para el Departamento del Atlántico, ya que éste fue construido en el año 2013.</v>
      </c>
      <c r="O9" s="320" t="s">
        <v>154</v>
      </c>
      <c r="P9" s="318"/>
      <c r="Q9" s="241"/>
      <c r="R9" s="241"/>
    </row>
    <row r="10" spans="1:18" ht="96">
      <c r="A10" s="219" t="s">
        <v>1413</v>
      </c>
      <c r="B10" s="220" t="s">
        <v>735</v>
      </c>
      <c r="C10" s="329">
        <f>+'5PUEAA'!D8</f>
        <v>1</v>
      </c>
      <c r="D10" s="315"/>
      <c r="E10" s="315"/>
      <c r="F10" s="315"/>
      <c r="G10" s="241"/>
      <c r="H10" s="312">
        <f>+'5PUEAA'!F11</f>
        <v>0</v>
      </c>
      <c r="I10" s="312" t="str">
        <f>+'5PUEAA'!E12</f>
        <v>PROGRAMA 1.2. CARACTERIZACIÓN, CUANTIFICACIÓN Y RECUPERACIÓN DEL RECURSO AGUA COMO ARTICULADOR DE LOS BIENES Y SERVICIOS AMBIENTALES</v>
      </c>
      <c r="J10" s="312">
        <f>+'5PUEAA'!E13</f>
        <v>0</v>
      </c>
      <c r="K10" s="241"/>
      <c r="L10" s="330" t="str">
        <f t="shared" si="0"/>
        <v/>
      </c>
      <c r="M10" s="330" t="str">
        <f t="shared" si="1"/>
        <v>PROGRAMA 1.2. CARACTERIZACIÓN, CUANTIFICACIÓN Y RECUPERACIÓN DEL RECURSO AGUA COMO ARTICULADOR DE LOS BIENES Y SERVICIOS AMBIENTALES</v>
      </c>
      <c r="N10" s="331" t="str">
        <f t="shared" si="2"/>
        <v/>
      </c>
      <c r="O10" s="320" t="s">
        <v>154</v>
      </c>
      <c r="P10" s="318"/>
      <c r="Q10" s="241"/>
      <c r="R10" s="241"/>
    </row>
    <row r="11" spans="1:18" ht="108">
      <c r="A11" s="219" t="s">
        <v>1414</v>
      </c>
      <c r="B11" s="220" t="s">
        <v>737</v>
      </c>
      <c r="C11" s="329">
        <f>+'6POMCASejec'!D8</f>
        <v>1</v>
      </c>
      <c r="D11" s="315"/>
      <c r="E11" s="315"/>
      <c r="F11" s="315"/>
      <c r="G11" s="241"/>
      <c r="H11" s="312">
        <f>+'6POMCASejec'!F11</f>
        <v>0</v>
      </c>
      <c r="I11" s="312" t="str">
        <f>+'6POMCASejec'!E12</f>
        <v>1. LÍNEA ESTRATÉGICA EN SOSTENIBILIDAD HÍDRICA; PROGRAMA 1.1. PLANIFICACION, ADMINISTRACION Y GESTION DEL RECURSO HIDRICO PARA LA PROTECCION DE LOS ECOSISTEMAS</v>
      </c>
      <c r="J11" s="312">
        <f>+'6POMCASejec'!E13</f>
        <v>0</v>
      </c>
      <c r="K11" s="241"/>
      <c r="L11" s="330" t="str">
        <f t="shared" si="0"/>
        <v/>
      </c>
      <c r="M11" s="330" t="str">
        <f t="shared" si="1"/>
        <v>1. LÍNEA ESTRATÉGICA EN SOSTENIBILIDAD HÍDRICA; PROGRAMA 1.1. PLANIFICACION, ADMINISTRACION Y GESTION DEL RECURSO HIDRICO PARA LA PROTECCION DE LOS ECOSISTEMAS</v>
      </c>
      <c r="N11" s="331" t="str">
        <f t="shared" si="2"/>
        <v/>
      </c>
      <c r="O11" s="320" t="s">
        <v>154</v>
      </c>
      <c r="P11" s="318"/>
      <c r="Q11" s="241"/>
      <c r="R11" s="241"/>
    </row>
    <row r="12" spans="1:18" ht="60">
      <c r="A12" s="219" t="s">
        <v>1415</v>
      </c>
      <c r="B12" s="220" t="s">
        <v>739</v>
      </c>
      <c r="C12" s="329">
        <f>+'7Clima'!D8</f>
        <v>1</v>
      </c>
      <c r="D12" s="315"/>
      <c r="E12" s="315"/>
      <c r="F12" s="315"/>
      <c r="G12" s="241"/>
      <c r="H12" s="312">
        <f>+'7Clima'!F11</f>
        <v>0</v>
      </c>
      <c r="I12" s="312" t="str">
        <f>+'7Clima'!E12</f>
        <v xml:space="preserve">4. LÍNEA ESTRATÉGICA DE SOSTENIBILIDAD SECTORIAL, PROGRAMA 4.3.  TERRITORIOS CON PLANIFICACIÓN AMBIENTAL </v>
      </c>
      <c r="J12" s="312">
        <f>+'7Clima'!E13</f>
        <v>0</v>
      </c>
      <c r="K12" s="241"/>
      <c r="L12" s="330" t="str">
        <f t="shared" si="0"/>
        <v/>
      </c>
      <c r="M12" s="330" t="str">
        <f t="shared" si="1"/>
        <v xml:space="preserve">4. LÍNEA ESTRATÉGICA DE SOSTENIBILIDAD SECTORIAL, PROGRAMA 4.3.  TERRITORIOS CON PLANIFICACIÓN AMBIENTAL </v>
      </c>
      <c r="N12" s="331" t="str">
        <f t="shared" si="2"/>
        <v/>
      </c>
      <c r="O12" s="320" t="s">
        <v>154</v>
      </c>
      <c r="P12" s="318"/>
      <c r="Q12" s="241"/>
      <c r="R12" s="241"/>
    </row>
    <row r="13" spans="1:18" ht="108">
      <c r="A13" s="219" t="s">
        <v>1416</v>
      </c>
      <c r="B13" s="220" t="s">
        <v>741</v>
      </c>
      <c r="C13" s="329" t="str">
        <f>+'8Suelo'!D8</f>
        <v>N.A.</v>
      </c>
      <c r="D13" s="315"/>
      <c r="E13" s="315"/>
      <c r="F13" s="315"/>
      <c r="G13" s="241"/>
      <c r="H13" s="312">
        <f>+'8Suelo'!F11</f>
        <v>0</v>
      </c>
      <c r="I13" s="312" t="str">
        <f>+'8Suelo'!E12</f>
        <v>2. LÍNEA ESTRATÉGICA SOSTENIBILIDAD DEL RECURSO NATURAL, PROGRAMA 2.1. BIODIVERSIDAD Y RIQUEZA DE LOS ECOSISTEMAS TERRESTRES</v>
      </c>
      <c r="J13" s="312" t="str">
        <f>+'8Suelo'!E13</f>
        <v xml:space="preserve">Teniendo en cuenta el Plan de Acción Institucional 2020-2023, la meta está contemplada para cumplirse en las vigencias 2022 y 2023 (Acuerdo de aprobación del Consejo Directivo N°004 del 20 de mayo de 2020) </v>
      </c>
      <c r="K13" s="241"/>
      <c r="L13" s="330">
        <f t="shared" si="0"/>
        <v>0</v>
      </c>
      <c r="M13" s="330" t="str">
        <f t="shared" si="1"/>
        <v>2. LÍNEA ESTRATÉGICA SOSTENIBILIDAD DEL RECURSO NATURAL, PROGRAMA 2.1. BIODIVERSIDAD Y RIQUEZA DE LOS ECOSISTEMAS TERRESTRES</v>
      </c>
      <c r="N13" s="331" t="str">
        <f t="shared" si="2"/>
        <v xml:space="preserve">Teniendo en cuenta el Plan de Acción Institucional 2020-2023, la meta está contemplada para cumplirse en las vigencias 2022 y 2023 (Acuerdo de aprobación del Consejo Directivo N°004 del 20 de mayo de 2020) </v>
      </c>
      <c r="O13" s="320" t="s">
        <v>154</v>
      </c>
      <c r="P13" s="318"/>
      <c r="Q13" s="241"/>
      <c r="R13" s="241"/>
    </row>
    <row r="14" spans="1:18" ht="108">
      <c r="A14" s="219" t="s">
        <v>1417</v>
      </c>
      <c r="B14" s="220" t="s">
        <v>743</v>
      </c>
      <c r="C14" s="329" t="str">
        <f>+'9RUNAP'!D9</f>
        <v>N.A.</v>
      </c>
      <c r="D14" s="315"/>
      <c r="E14" s="315"/>
      <c r="F14" s="315"/>
      <c r="G14" s="241"/>
      <c r="H14" s="312">
        <f>+'9RUNAP'!F12</f>
        <v>0</v>
      </c>
      <c r="I14" s="312" t="str">
        <f>+'9RUNAP'!E13</f>
        <v>2. LÍNEA SOSTENIBILIDAD DEL RECURSO NATURAL; PROGRAMA 2.3. ESTRATEGIAS REGIONALES DE CONSERVACIÓN</v>
      </c>
      <c r="J14" s="312" t="str">
        <f>+'9RUNAP'!E14</f>
        <v xml:space="preserve">Teniendo en cuenta el Plan de Acción Institucional 2020-2023, la meta está contemplada para cumplirse en la vigencia 2023 (Acuerdo de aprobación del Consejo Directivo N°004 del 20 de mayo de 2020) </v>
      </c>
      <c r="K14" s="241"/>
      <c r="L14" s="330">
        <f t="shared" si="0"/>
        <v>0</v>
      </c>
      <c r="M14" s="330" t="str">
        <f t="shared" si="1"/>
        <v>2. LÍNEA SOSTENIBILIDAD DEL RECURSO NATURAL; PROGRAMA 2.3. ESTRATEGIAS REGIONALES DE CONSERVACIÓN</v>
      </c>
      <c r="N14" s="331" t="str">
        <f t="shared" si="2"/>
        <v xml:space="preserve">Teniendo en cuenta el Plan de Acción Institucional 2020-2023, la meta está contemplada para cumplirse en la vigencia 2023 (Acuerdo de aprobación del Consejo Directivo N°004 del 20 de mayo de 2020) </v>
      </c>
      <c r="O14" s="320" t="s">
        <v>154</v>
      </c>
      <c r="P14" s="318"/>
      <c r="Q14" s="241"/>
      <c r="R14" s="241"/>
    </row>
    <row r="15" spans="1:18" ht="25.5">
      <c r="A15" s="219" t="s">
        <v>1418</v>
      </c>
      <c r="B15" s="220" t="s">
        <v>745</v>
      </c>
      <c r="C15" s="329" t="str">
        <f>'10Paramos'!D8</f>
        <v>NO APLICA</v>
      </c>
      <c r="D15" s="315"/>
      <c r="E15" s="315"/>
      <c r="F15" s="315"/>
      <c r="G15" s="241"/>
      <c r="H15" s="312">
        <f>'10Paramos'!F11</f>
        <v>0</v>
      </c>
      <c r="I15" s="312">
        <f>'10Paramos'!E12</f>
        <v>0</v>
      </c>
      <c r="J15" s="312" t="str">
        <f>'10Paramos'!E13</f>
        <v>NO APLICA PARA LA JURISDICCIÓN DE LA CRA.</v>
      </c>
      <c r="K15" s="241"/>
      <c r="L15" s="330">
        <f t="shared" si="0"/>
        <v>0</v>
      </c>
      <c r="M15" s="330" t="str">
        <f t="shared" si="1"/>
        <v/>
      </c>
      <c r="N15" s="331" t="str">
        <f t="shared" si="2"/>
        <v>NO APLICA PARA LA JURISDICCIÓN DE LA CRA.</v>
      </c>
      <c r="O15" s="320" t="s">
        <v>154</v>
      </c>
      <c r="P15" s="318"/>
      <c r="Q15" s="241"/>
      <c r="R15" s="241"/>
    </row>
    <row r="16" spans="1:18" ht="84">
      <c r="A16" s="219" t="s">
        <v>1419</v>
      </c>
      <c r="B16" s="220" t="s">
        <v>746</v>
      </c>
      <c r="C16" s="329" t="e">
        <f>+'11Forest'!D8</f>
        <v>#DIV/0!</v>
      </c>
      <c r="D16" s="315"/>
      <c r="E16" s="315"/>
      <c r="F16" s="315"/>
      <c r="G16" s="241"/>
      <c r="H16" s="312">
        <f>+'11Forest'!F11</f>
        <v>0</v>
      </c>
      <c r="I16" s="312" t="str">
        <f>+'11Forest'!E12</f>
        <v>2. LÍNEA SOSTENIBILIDAD DEL RECURSO NATURAL</v>
      </c>
      <c r="J16" s="312" t="str">
        <f>+'11Forest'!E13</f>
        <v>El Plan de Ordenamiento Forestal fue adoptado a través de la Resolución No.859 del 2018 de la C.R.A., se cntempló actualizar el mismo para la vigencia 2022.</v>
      </c>
      <c r="K16" s="241"/>
      <c r="L16" s="330">
        <f t="shared" si="0"/>
        <v>0</v>
      </c>
      <c r="M16" s="330" t="str">
        <f t="shared" si="1"/>
        <v>2. LÍNEA SOSTENIBILIDAD DEL RECURSO NATURAL</v>
      </c>
      <c r="N16" s="331" t="str">
        <f t="shared" si="2"/>
        <v>El Plan de Ordenamiento Forestal fue adoptado a través de la Resolución No.859 del 2018 de la C.R.A., se cntempló actualizar el mismo para la vigencia 2022.</v>
      </c>
      <c r="O16" s="320" t="s">
        <v>154</v>
      </c>
      <c r="P16" s="318"/>
      <c r="Q16" s="241"/>
      <c r="R16" s="241"/>
    </row>
    <row r="17" spans="1:16" ht="60">
      <c r="A17" s="219" t="s">
        <v>1420</v>
      </c>
      <c r="B17" s="220" t="s">
        <v>747</v>
      </c>
      <c r="C17" s="329">
        <f>+'12PlanesAP'!D8</f>
        <v>1</v>
      </c>
      <c r="D17" s="315"/>
      <c r="E17" s="315"/>
      <c r="F17" s="315"/>
      <c r="G17" s="241"/>
      <c r="H17" s="312">
        <f>+'12PlanesAP'!F11</f>
        <v>0</v>
      </c>
      <c r="I17" s="312" t="str">
        <f>+'12PlanesAP'!E12</f>
        <v>Línea Estratégica Sostenibilidad del Recurso Natural - Programa Estrategias Regionales de Conservación</v>
      </c>
      <c r="J17" s="312">
        <f>+'12PlanesAP'!E13</f>
        <v>0</v>
      </c>
      <c r="K17" s="241"/>
      <c r="L17" s="330" t="str">
        <f t="shared" si="0"/>
        <v/>
      </c>
      <c r="M17" s="330" t="str">
        <f t="shared" si="1"/>
        <v>Línea Estratégica Sostenibilidad del Recurso Natural - Programa Estrategias Regionales de Conservación</v>
      </c>
      <c r="N17" s="331" t="str">
        <f t="shared" si="2"/>
        <v/>
      </c>
      <c r="O17" s="320" t="s">
        <v>154</v>
      </c>
      <c r="P17" s="318"/>
    </row>
    <row r="18" spans="1:16" ht="288">
      <c r="A18" s="219" t="s">
        <v>1421</v>
      </c>
      <c r="B18" s="220" t="s">
        <v>748</v>
      </c>
      <c r="C18" s="329" t="str">
        <f>+'13Amenaz'!D8</f>
        <v>N.A.</v>
      </c>
      <c r="D18" s="315"/>
      <c r="E18" s="315"/>
      <c r="F18" s="315"/>
      <c r="G18" s="241"/>
      <c r="H18" s="312">
        <f>+'13Amenaz'!F11</f>
        <v>0</v>
      </c>
      <c r="I18" s="312" t="str">
        <f>+'13Amenaz'!E12</f>
        <v>2. LÍNEA SOSTENIBILIDAD DEL RECURSO NATURAL; PROGRAMA 2.1. BIODIVERSIDAD Y RIQUEZA DE LOS ECOSISTEMAS TERRESTRES; PROYECTO 2.1.2. GESTIÓN DE ESPECIES</v>
      </c>
      <c r="J18" s="312" t="str">
        <f>+'13Amenaz'!E13</f>
        <v>En el marco de un programa de conservación con especies amenazadas priorizadas en el Departamento del Atlántico la CRA se celebró el contrato N° 351 de 2020 cuyo objeto contractual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 Actualmente se encuentra en ejecución.</v>
      </c>
      <c r="K18" s="241"/>
      <c r="L18" s="330">
        <f t="shared" si="0"/>
        <v>0</v>
      </c>
      <c r="M18" s="330" t="str">
        <f t="shared" si="1"/>
        <v>2. LÍNEA SOSTENIBILIDAD DEL RECURSO NATURAL; PROGRAMA 2.1. BIODIVERSIDAD Y RIQUEZA DE LOS ECOSISTEMAS TERRESTRES; PROYECTO 2.1.2. GESTIÓN DE ESPECIES</v>
      </c>
      <c r="N18" s="331" t="str">
        <f t="shared" si="2"/>
        <v>En el marco de un programa de conservación con especies amenazadas priorizadas en el Departamento del Atlántico la CRA se celebró el contrato N° 351 de 2020 cuyo objeto contractual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 Actualmente se encuentra en ejecución.</v>
      </c>
      <c r="O18" s="320" t="s">
        <v>154</v>
      </c>
      <c r="P18" s="318"/>
    </row>
    <row r="19" spans="1:16" ht="288">
      <c r="A19" s="219" t="s">
        <v>1422</v>
      </c>
      <c r="B19" s="220" t="s">
        <v>749</v>
      </c>
      <c r="C19" s="329" t="str">
        <f>+'14Invasor'!D8</f>
        <v>N.A.</v>
      </c>
      <c r="D19" s="315"/>
      <c r="E19" s="315"/>
      <c r="F19" s="315"/>
      <c r="G19" s="241"/>
      <c r="H19" s="312">
        <f>+'14Invasor'!F11</f>
        <v>0</v>
      </c>
      <c r="I19" s="312" t="str">
        <f>+'14Invasor'!E12</f>
        <v>2. LÍNEA SOSTENIBILIDAD DEL RECURSO NATURAL; PROGRAMA 2.1. BIODIVERSIDAD Y RIQUEZA DE LOS ECOSISTEMAS TERRESTRES; PROYECTO 2.1.2. GESTIÓN DE ESPECIES</v>
      </c>
      <c r="J19" s="312" t="str">
        <f>+'14Invasor'!E13</f>
        <v>Se realizará el diagnóstico de las especies invasoras del Departamento y se diseñará una estrategia regional para el control de especies invasoras, exóticas y trasplantadas. A través del contrato N°351 de 2020 cuyo objeto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v>
      </c>
      <c r="K19" s="241"/>
      <c r="L19" s="330">
        <f t="shared" si="0"/>
        <v>0</v>
      </c>
      <c r="M19" s="330" t="str">
        <f t="shared" si="1"/>
        <v>2. LÍNEA SOSTENIBILIDAD DEL RECURSO NATURAL; PROGRAMA 2.1. BIODIVERSIDAD Y RIQUEZA DE LOS ECOSISTEMAS TERRESTRES; PROYECTO 2.1.2. GESTIÓN DE ESPECIES</v>
      </c>
      <c r="N19" s="331" t="str">
        <f t="shared" si="2"/>
        <v>Se realizará el diagnóstico de las especies invasoras del Departamento y se diseñará una estrategia regional para el control de especies invasoras, exóticas y trasplantadas. A través del contrato N°351 de 2020 cuyo objeto es: PRESTAR LOS SERVICIOS PARA DESARROLLAR E IMPLEMENTAR ACCIONES DE CONSERVACIÓN Y USO SOSTENIBLE DE ESPECIES AMENZADAS Y PRIORIOZADAS EN EL DEPARTAMENTO DEL ATLÁNTICO, ASI COMO UNA ESTRATEGIA DE EDUCACIÓN Y CONTROL DE LAS ESPECIES INVASORAS Y EXÓTICAS, A TRAVES DE LA SENSIBILIZACIÓN AMBIENTAL</v>
      </c>
      <c r="O19" s="320" t="s">
        <v>154</v>
      </c>
      <c r="P19" s="318"/>
    </row>
    <row r="20" spans="1:16" ht="96">
      <c r="A20" s="219" t="s">
        <v>1423</v>
      </c>
      <c r="B20" s="220" t="s">
        <v>750</v>
      </c>
      <c r="C20" s="329" t="e">
        <f>+'15Restaura'!D8</f>
        <v>#DIV/0!</v>
      </c>
      <c r="D20" s="315"/>
      <c r="E20" s="315"/>
      <c r="F20" s="315"/>
      <c r="G20" s="241"/>
      <c r="H20" s="312">
        <f>+'15Restaura'!F11</f>
        <v>0</v>
      </c>
      <c r="I20" s="312" t="str">
        <f>+'15Restaura'!E12</f>
        <v>2. LÍNEA SOSTENIBILIDAD DEL RECURSO NATURAL; PROGRAMA 2.1. BIODIVERSIDAD Y RIQUEZA DE LOS ECOSISTEMAS TERRESTRES; PROYECTO 2.1.1. DESARROLLO FORESTAL SOSTENIBLE</v>
      </c>
      <c r="J20" s="312" t="str">
        <f>+'15Restaura'!E13</f>
        <v>Se programó la meta para avance en la vigencia 2022 y cumplimiento en la vigencia 2023</v>
      </c>
      <c r="K20" s="241"/>
      <c r="L20" s="330">
        <f t="shared" si="0"/>
        <v>0</v>
      </c>
      <c r="M20" s="330" t="str">
        <f t="shared" si="1"/>
        <v>2. LÍNEA SOSTENIBILIDAD DEL RECURSO NATURAL; PROGRAMA 2.1. BIODIVERSIDAD Y RIQUEZA DE LOS ECOSISTEMAS TERRESTRES; PROYECTO 2.1.1. DESARROLLO FORESTAL SOSTENIBLE</v>
      </c>
      <c r="N20" s="331" t="str">
        <f t="shared" si="2"/>
        <v>Se programó la meta para avance en la vigencia 2022 y cumplimiento en la vigencia 2023</v>
      </c>
      <c r="O20" s="320" t="s">
        <v>154</v>
      </c>
      <c r="P20" s="318"/>
    </row>
    <row r="21" spans="1:16" ht="72">
      <c r="A21" s="219" t="s">
        <v>1424</v>
      </c>
      <c r="B21" s="220" t="s">
        <v>751</v>
      </c>
      <c r="C21" s="329">
        <f>+'16MIZC'!D8</f>
        <v>0</v>
      </c>
      <c r="D21" s="315"/>
      <c r="E21" s="315"/>
      <c r="F21" s="315"/>
      <c r="G21" s="241"/>
      <c r="H21" s="312">
        <f>+'16MIZC'!F11</f>
        <v>0</v>
      </c>
      <c r="I21" s="312" t="str">
        <f>+'16MIZC'!E12</f>
        <v>2. LÍNEA SOSTENIBILIDAD DEL RECURSO NATURAL - PROGRAMA 2.2. BIODIVERSIDAD Y RIQUEZA DE LOS ECOSISTEMAS MARINO COSTERO</v>
      </c>
      <c r="J21" s="312">
        <f>+'16MIZC'!E13</f>
        <v>0</v>
      </c>
      <c r="K21" s="241"/>
      <c r="L21" s="330" t="str">
        <f t="shared" si="0"/>
        <v/>
      </c>
      <c r="M21" s="330" t="str">
        <f t="shared" si="1"/>
        <v>2. LÍNEA SOSTENIBILIDAD DEL RECURSO NATURAL - PROGRAMA 2.2. BIODIVERSIDAD Y RIQUEZA DE LOS ECOSISTEMAS MARINO COSTERO</v>
      </c>
      <c r="N21" s="331" t="str">
        <f t="shared" si="2"/>
        <v/>
      </c>
      <c r="O21" s="320" t="s">
        <v>154</v>
      </c>
      <c r="P21" s="318"/>
    </row>
    <row r="22" spans="1:16" ht="60">
      <c r="A22" s="219" t="s">
        <v>1425</v>
      </c>
      <c r="B22" s="220" t="s">
        <v>752</v>
      </c>
      <c r="C22" s="329">
        <f>+'17PGIRS'!D8</f>
        <v>1</v>
      </c>
      <c r="D22" s="315"/>
      <c r="E22" s="315"/>
      <c r="F22" s="315"/>
      <c r="G22" s="241"/>
      <c r="H22" s="312">
        <f>+'17PGIRS'!F11</f>
        <v>0</v>
      </c>
      <c r="I22" s="312" t="str">
        <f>+'17PGIRS'!E12</f>
        <v>4. LÍNEA SOSTENIBILIDAD SECTORIAL  - PROGRAMA 4.4.  PREVENCIÓN, CONTROL Y MONITOREO DEL AIRE Y SUELO</v>
      </c>
      <c r="J22" s="312">
        <f>+'17PGIRS'!E13</f>
        <v>0</v>
      </c>
      <c r="K22" s="241"/>
      <c r="L22" s="330" t="str">
        <f t="shared" si="0"/>
        <v/>
      </c>
      <c r="M22" s="330" t="str">
        <f t="shared" si="1"/>
        <v>4. LÍNEA SOSTENIBILIDAD SECTORIAL  - PROGRAMA 4.4.  PREVENCIÓN, CONTROL Y MONITOREO DEL AIRE Y SUELO</v>
      </c>
      <c r="N22" s="331" t="str">
        <f t="shared" si="2"/>
        <v/>
      </c>
      <c r="O22" s="320" t="s">
        <v>154</v>
      </c>
      <c r="P22" s="318"/>
    </row>
    <row r="23" spans="1:16" ht="409.5">
      <c r="A23" s="219" t="s">
        <v>1426</v>
      </c>
      <c r="B23" s="220" t="s">
        <v>753</v>
      </c>
      <c r="C23" s="329">
        <f>+'18Sector'!D8</f>
        <v>1</v>
      </c>
      <c r="D23" s="315"/>
      <c r="E23" s="315"/>
      <c r="F23" s="315"/>
      <c r="G23" s="241"/>
      <c r="H23" s="312">
        <f>+'18Sector'!F11</f>
        <v>0</v>
      </c>
      <c r="I23" s="312" t="str">
        <f>+'18Sector'!E12</f>
        <v>4. LÍNEA SOSTENIBILIDAD SECTORIAL - PROGRAMA 4.2 POR UN DEPARTAMENTO CON ENERGÍAS RENOVABLES</v>
      </c>
      <c r="J23" s="312" t="str">
        <f>+'18Sector'!E13</f>
        <v>Celebramos Convenio de Cooperación Internacional el cual suscribimos con la Universidad de la Costa, Universidad Simon Bolivar y Bluesens GmbH biogás / biomasa como base para el uso del biogás como energía renovable, firmado el 4 de junio de 2019  entre las siguientes entidades cuyo objeto es: "FORTALECIMIENTO DEL ANÁLISIS AMBIENTAL COLOMBIANO PARA EVALUAR EL BIOGÁS / BIOMASA COMO BASE PARA EL USO DEL BIOGÁS COMO ENERGÍA RENOVABLE".  (11/2019 – 10/2021).
Se celebró el contrato N° 355 de 2020 el día 07 de diciembre de 2020 con la Corporación Universidad de la Costa con  el objeto “DISEÑO DE UN SISTEMA HIBRIDO (SOLAR FOTOVOLTAICO Y EÓLICO) DE 145 KWH/DÍA PARA ABASTECER DE ENERGÍA ELÉCTRICA A UN LABORATORIO DE CALIDAD AMBIENTAL UBICADO EN ZONA RURAL DEL MUNICIPIO DE SABANAGRANDE-ATLÁNTICO”.
Se realizaron veintiséis (26) talleres de capacitación en modalidad tanto presencial como virtual dirigido a 821 personas, entre profesores, estudiantes, empresarios, líderes ambientales, red de jóvenes y funcionarios, en los temas de manejo adecuado de los residuos sólidos, temáticas relacionadas a la salud ambiental, biodiversidad, caracol africano, residuos posconsumo entre otros.</v>
      </c>
      <c r="K23" s="241"/>
      <c r="L23" s="330" t="str">
        <f t="shared" si="0"/>
        <v/>
      </c>
      <c r="M23" s="330" t="str">
        <f t="shared" si="1"/>
        <v>4. LÍNEA SOSTENIBILIDAD SECTORIAL - PROGRAMA 4.2 POR UN DEPARTAMENTO CON ENERGÍAS RENOVABLES</v>
      </c>
      <c r="N23" s="331" t="str">
        <f t="shared" si="2"/>
        <v>Celebramos Convenio de Cooperación Internacional el cual suscribimos con la Universidad de la Costa, Universidad Simon Bolivar y Bluesens GmbH biogás / biomasa como base para el uso del biogás como energía renovable, firmado el 4 de junio de 2019  entre las siguientes entidades cuyo objeto es: "FORTALECIMIENTO DEL ANÁLISIS AMBIENTAL COLOMBIANO PARA EVALUAR EL BIOGÁS / BIOMASA COMO BASE PARA EL USO DEL BIOGÁS COMO ENERGÍA RENOVABLE".  (11/2019 – 10/2021).
Se celebró el contrato N° 355 de 2020 el día 07 de diciembre de 2020 con la Corporación Universidad de la Costa con  el objeto “DISEÑO DE UN SISTEMA HIBRIDO (SOLAR FOTOVOLTAICO Y EÓLICO) DE 145 KWH/DÍA PARA ABASTECER DE ENERGÍA ELÉCTRICA A UN LABORATORIO DE CALIDAD AMBIENTAL UBICADO EN ZONA RURAL DEL MUNICIPIO DE SABANAGRANDE-ATLÁNTICO”.
Se realizaron veintiséis (26) talleres de capacitación en modalidad tanto presencial como virtual dirigido a 821 personas, entre profesores, estudiantes, empresarios, líderes ambientales, red de jóvenes y funcionarios, en los temas de manejo adecuado de los residuos sólidos, temáticas relacionadas a la salud ambiental, biodiversidad, caracol africano, residuos posconsumo entre otros.</v>
      </c>
      <c r="O23" s="320" t="s">
        <v>154</v>
      </c>
      <c r="P23" s="318"/>
    </row>
    <row r="24" spans="1:16" ht="60">
      <c r="A24" s="219" t="s">
        <v>1427</v>
      </c>
      <c r="B24" s="220" t="s">
        <v>754</v>
      </c>
      <c r="C24" s="329">
        <f>+'19GAU'!D8</f>
        <v>0.55000000000000004</v>
      </c>
      <c r="D24" s="315"/>
      <c r="E24" s="315"/>
      <c r="F24" s="315"/>
      <c r="G24" s="241"/>
      <c r="H24" s="312">
        <f>+'19GAU'!F11</f>
        <v>0</v>
      </c>
      <c r="I24" s="312" t="str">
        <f>+'19GAU'!E12</f>
        <v>4. LÍNEA SOSTENIBILIDAD SECTORIAL; PROGRAMA 4.4.  PREVENCIÓN, CONTROL Y MONITOREO DEL AIRE Y SUELO</v>
      </c>
      <c r="J24" s="312">
        <f>+'19GAU'!E13</f>
        <v>0</v>
      </c>
      <c r="K24" s="241"/>
      <c r="L24" s="330" t="str">
        <f t="shared" si="0"/>
        <v/>
      </c>
      <c r="M24" s="330" t="str">
        <f t="shared" si="1"/>
        <v>4. LÍNEA SOSTENIBILIDAD SECTORIAL; PROGRAMA 4.4.  PREVENCIÓN, CONTROL Y MONITOREO DEL AIRE Y SUELO</v>
      </c>
      <c r="N24" s="331" t="str">
        <f t="shared" si="2"/>
        <v/>
      </c>
      <c r="O24" s="320" t="s">
        <v>154</v>
      </c>
      <c r="P24" s="318"/>
    </row>
    <row r="25" spans="1:16" ht="96">
      <c r="A25" s="219" t="s">
        <v>1428</v>
      </c>
      <c r="B25" s="220" t="s">
        <v>755</v>
      </c>
      <c r="C25" s="329">
        <f>+'20Negoc'!D8</f>
        <v>0</v>
      </c>
      <c r="D25" s="315"/>
      <c r="E25" s="315"/>
      <c r="F25" s="315"/>
      <c r="G25" s="241"/>
      <c r="H25" s="312">
        <f>+'20Negoc'!F11</f>
        <v>0</v>
      </c>
      <c r="I25" s="312" t="str">
        <f>+'20Negoc'!E12</f>
        <v>2. LÍNEA SOSTENIBILIDAD DEL RECURSO NATURAL; PROGRAMA 2.3. ESTRATEGIAS REGIONALES DE CONSERVACIÓN</v>
      </c>
      <c r="J25" s="312" t="str">
        <f>+'20Negoc'!E13</f>
        <v>Tomado del Plan operativo del PAI 2020-2023, para el Programa de Negocios Verdes.
Los valores registrados corresponden al presupuesto de la vigencia del PAI 2020-2023</v>
      </c>
      <c r="K25" s="241"/>
      <c r="L25" s="330" t="str">
        <f t="shared" si="0"/>
        <v/>
      </c>
      <c r="M25" s="330" t="str">
        <f t="shared" si="1"/>
        <v>2. LÍNEA SOSTENIBILIDAD DEL RECURSO NATURAL; PROGRAMA 2.3. ESTRATEGIAS REGIONALES DE CONSERVACIÓN</v>
      </c>
      <c r="N25" s="331" t="str">
        <f t="shared" si="2"/>
        <v>Tomado del Plan operativo del PAI 2020-2023, para el Programa de Negocios Verdes.
Los valores registrados corresponden al presupuesto de la vigencia del PAI 2020-2023</v>
      </c>
      <c r="O25" s="320" t="s">
        <v>154</v>
      </c>
      <c r="P25" s="318"/>
    </row>
    <row r="26" spans="1:16" ht="48">
      <c r="A26" s="219" t="s">
        <v>1429</v>
      </c>
      <c r="B26" s="220" t="s">
        <v>756</v>
      </c>
      <c r="C26" s="329">
        <f>+'21TiempoT'!D8</f>
        <v>1</v>
      </c>
      <c r="D26" s="315"/>
      <c r="E26" s="315"/>
      <c r="F26" s="315"/>
      <c r="G26" s="241"/>
      <c r="H26" s="312">
        <f>+'21TiempoT'!F11</f>
        <v>0</v>
      </c>
      <c r="I26" s="312" t="str">
        <f>+'21TiempoT'!E12</f>
        <v xml:space="preserve">4. LÍNEA SOSTENIBILIDAD SECTORIAL ; PROGRAMA 4.5: Instrumenos económicos y de control ambiental </v>
      </c>
      <c r="J26" s="312">
        <f>+'21TiempoT'!E13</f>
        <v>0</v>
      </c>
      <c r="K26" s="241"/>
      <c r="L26" s="330" t="str">
        <f t="shared" si="0"/>
        <v/>
      </c>
      <c r="M26" s="330" t="str">
        <f t="shared" si="1"/>
        <v xml:space="preserve">4. LÍNEA SOSTENIBILIDAD SECTORIAL ; PROGRAMA 4.5: Instrumenos económicos y de control ambiental </v>
      </c>
      <c r="N26" s="331" t="str">
        <f t="shared" si="2"/>
        <v/>
      </c>
      <c r="O26" s="320" t="s">
        <v>154</v>
      </c>
      <c r="P26" s="318"/>
    </row>
    <row r="27" spans="1:16" ht="409.5">
      <c r="A27" s="219" t="s">
        <v>1430</v>
      </c>
      <c r="B27" s="220" t="s">
        <v>757</v>
      </c>
      <c r="C27" s="329">
        <f>+'22Autor'!D8</f>
        <v>0.93123876123876126</v>
      </c>
      <c r="D27" s="315"/>
      <c r="E27" s="315"/>
      <c r="F27" s="315"/>
      <c r="G27" s="241"/>
      <c r="H27" s="312">
        <f>+'22Autor'!F11</f>
        <v>0</v>
      </c>
      <c r="I27" s="312" t="str">
        <f>+'22Autor'!E12</f>
        <v xml:space="preserve">4. LÍNEA SOSTENIBILIDAD SECTORIAL ; PROGRAMA 4.5: Instrumenos económicos y de control ambiental </v>
      </c>
      <c r="J27" s="312" t="str">
        <f>+'22Autor'!E13</f>
        <v>Para el 2020 se iniciaron las labores de depuración, saneamiento y seguimiento con meta del 25% del total de los expedientes existentes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Los instrumentos de manejo y control (LA-PMA) se priorizarán por sectores de alto impacto y otros, por lo tanto su seguimiento se programó con una cobertura del 100% y 50% respectivamente.  Instrumentos de manejo como PSMV y PGRIS (municipal) serán objeto de seguimiento al 100% para cada uno de los periodos de vigencia del PAC</v>
      </c>
      <c r="K27" s="241"/>
      <c r="L27" s="330" t="str">
        <f t="shared" si="0"/>
        <v/>
      </c>
      <c r="M27" s="330" t="str">
        <f t="shared" si="1"/>
        <v xml:space="preserve">4. LÍNEA SOSTENIBILIDAD SECTORIAL ; PROGRAMA 4.5: Instrumenos económicos y de control ambiental </v>
      </c>
      <c r="N27" s="331" t="str">
        <f t="shared" si="2"/>
        <v>Para el 2020 se iniciaron las labores de depuración, saneamiento y seguimiento con meta del 25% del total de los expedientes existentes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Los instrumentos de manejo y control (LA-PMA) se priorizarán por sectores de alto impacto y otros, por lo tanto su seguimiento se programó con una cobertura del 100% y 50% respectivamente.  Instrumentos de manejo como PSMV y PGRIS (municipal) serán objeto de seguimiento al 100% para cada uno de los periodos de vigencia del PAC</v>
      </c>
      <c r="O27" s="320" t="s">
        <v>154</v>
      </c>
      <c r="P27" s="318"/>
    </row>
    <row r="28" spans="1:16" ht="409.5">
      <c r="A28" s="219" t="s">
        <v>1431</v>
      </c>
      <c r="B28" s="220" t="s">
        <v>758</v>
      </c>
      <c r="C28" s="329">
        <f>+'22Autor'!D8</f>
        <v>0.93123876123876126</v>
      </c>
      <c r="D28" s="315"/>
      <c r="E28" s="315"/>
      <c r="F28" s="315"/>
      <c r="G28" s="241"/>
      <c r="H28" s="312">
        <f>+'22Autor'!F11</f>
        <v>0</v>
      </c>
      <c r="I28" s="312" t="str">
        <f>+'22Autor'!E12</f>
        <v xml:space="preserve">4. LÍNEA SOSTENIBILIDAD SECTORIAL ; PROGRAMA 4.5: Instrumenos económicos y de control ambiental </v>
      </c>
      <c r="J28" s="312" t="str">
        <f>+'22Autor'!E13</f>
        <v>Para el 2020 se iniciaron las labores de depuración, saneamiento y seguimiento con meta del 25% del total de los expedientes existentes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Los instrumentos de manejo y control (LA-PMA) se priorizarán por sectores de alto impacto y otros, por lo tanto su seguimiento se programó con una cobertura del 100% y 50% respectivamente.  Instrumentos de manejo como PSMV y PGRIS (municipal) serán objeto de seguimiento al 100% para cada uno de los periodos de vigencia del PAC</v>
      </c>
      <c r="K28" s="241"/>
      <c r="L28" s="330" t="str">
        <f t="shared" si="0"/>
        <v/>
      </c>
      <c r="M28" s="330" t="str">
        <f t="shared" si="1"/>
        <v xml:space="preserve">4. LÍNEA SOSTENIBILIDAD SECTORIAL ; PROGRAMA 4.5: Instrumenos económicos y de control ambiental </v>
      </c>
      <c r="N28" s="331" t="str">
        <f t="shared" si="2"/>
        <v>Para el 2020 se iniciaron las labores de depuración, saneamiento y seguimiento con meta del 25% del total de los expedientes existentes para el 2020, que incrementará en otro 25% anual. (2021: 50%. 2022: 75%, 2023: 100%). Los valores porcentuales son acumulativos, es decir, el 50% del 2021, incluye el seguimiento 2021 de los expedientes depurados y saneados en el 2020 (25%). Lo mismo ocurre en los años posteriores, llegando al 100% de los expedientes depurados, saneados y con seguimiento en el 2023
Los instrumentos de manejo y control (LA-PMA) se priorizarán por sectores de alto impacto y otros, por lo tanto su seguimiento se programó con una cobertura del 100% y 50% respectivamente.  Instrumentos de manejo como PSMV y PGRIS (municipal) serán objeto de seguimiento al 100% para cada uno de los periodos de vigencia del PAC</v>
      </c>
      <c r="O28" s="320" t="s">
        <v>154</v>
      </c>
      <c r="P28" s="318"/>
    </row>
    <row r="29" spans="1:16" ht="51">
      <c r="A29" s="219" t="s">
        <v>1432</v>
      </c>
      <c r="B29" s="220" t="s">
        <v>759</v>
      </c>
      <c r="C29" s="329">
        <f>'24POT'!D7</f>
        <v>1</v>
      </c>
      <c r="D29" s="315"/>
      <c r="E29" s="315"/>
      <c r="F29" s="315"/>
      <c r="G29" s="241"/>
      <c r="H29" s="312">
        <f>'24POT'!F10</f>
        <v>0</v>
      </c>
      <c r="I29" s="312" t="str">
        <f>'24POT'!E11</f>
        <v xml:space="preserve">4. LÍNEA SOSTENIBILIDAD SECTORIAL ; PROGRAMA 4.3.  Territorios con planificación ambiental </v>
      </c>
      <c r="J29" s="312">
        <f>'24POT'!E12</f>
        <v>0</v>
      </c>
      <c r="K29" s="241"/>
      <c r="L29" s="330" t="str">
        <f t="shared" si="0"/>
        <v/>
      </c>
      <c r="M29" s="330" t="str">
        <f t="shared" si="1"/>
        <v xml:space="preserve">4. LÍNEA SOSTENIBILIDAD SECTORIAL ; PROGRAMA 4.3.  Territorios con planificación ambiental </v>
      </c>
      <c r="N29" s="331" t="str">
        <f t="shared" si="2"/>
        <v/>
      </c>
      <c r="O29" s="320" t="s">
        <v>154</v>
      </c>
      <c r="P29" s="318"/>
    </row>
    <row r="30" spans="1:16" ht="60">
      <c r="A30" s="219" t="s">
        <v>1433</v>
      </c>
      <c r="B30" s="220" t="s">
        <v>760</v>
      </c>
      <c r="C30" s="329">
        <f>+'25Redes'!D8</f>
        <v>0</v>
      </c>
      <c r="D30" s="315"/>
      <c r="E30" s="315"/>
      <c r="F30" s="315"/>
      <c r="G30" s="241"/>
      <c r="H30" s="312">
        <f>+'25Redes'!F11</f>
        <v>0</v>
      </c>
      <c r="I30" s="312" t="str">
        <f>+'25Redes'!E12</f>
        <v>4. LÍNEA SOSTENIBILIDAD SECTORIAL ; PROGRAMA No 4.4. PREVENCIÓN, CONTROL Y MONITOREO DEL  AIRE Y SUELO</v>
      </c>
      <c r="J30" s="312">
        <f>+'25Redes'!E13</f>
        <v>0</v>
      </c>
      <c r="K30" s="241"/>
      <c r="L30" s="330" t="str">
        <f t="shared" si="0"/>
        <v/>
      </c>
      <c r="M30" s="330" t="str">
        <f t="shared" si="1"/>
        <v>4. LÍNEA SOSTENIBILIDAD SECTORIAL ; PROGRAMA No 4.4. PREVENCIÓN, CONTROL Y MONITOREO DEL  AIRE Y SUELO</v>
      </c>
      <c r="N30" s="331" t="str">
        <f t="shared" si="2"/>
        <v/>
      </c>
      <c r="O30" s="320" t="s">
        <v>154</v>
      </c>
      <c r="P30" s="318"/>
    </row>
    <row r="31" spans="1:16" ht="240">
      <c r="A31" s="219" t="s">
        <v>1434</v>
      </c>
      <c r="B31" s="220" t="s">
        <v>761</v>
      </c>
      <c r="C31" s="329">
        <f>+'26SIAC'!D8</f>
        <v>0.73150453066602128</v>
      </c>
      <c r="D31" s="315"/>
      <c r="E31" s="315"/>
      <c r="F31" s="315"/>
      <c r="G31" s="241"/>
      <c r="H31" s="312">
        <f>+'26SIAC'!F11</f>
        <v>0</v>
      </c>
      <c r="I31" s="312" t="str">
        <f>+'26SIAC'!E12</f>
        <v>5. LÍNEA SOSTENIBILIDAD INSTITUCIONAL; PROYECTO No 5.6.2. SISTEMAS DE INFORMACIÓN AMBIENTAL (SIAC)</v>
      </c>
      <c r="J31" s="312" t="str">
        <f>+'26SIAC'!E13</f>
        <v>* SISAIRE: información a fecha de corte septiembre de 2020, debido a fallas en la descarga de datos remota y en el suministro eléctrico se debe efectuar la descarga manual.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K31" s="241"/>
      <c r="L31" s="330" t="str">
        <f t="shared" si="0"/>
        <v/>
      </c>
      <c r="M31" s="330" t="str">
        <f t="shared" si="1"/>
        <v>5. LÍNEA SOSTENIBILIDAD INSTITUCIONAL; PROYECTO No 5.6.2. SISTEMAS DE INFORMACIÓN AMBIENTAL (SIAC)</v>
      </c>
      <c r="N31" s="331" t="str">
        <f t="shared" si="2"/>
        <v>* SISAIRE: información a fecha de corte septiembre de 2020, debido a fallas en la descarga de datos remota y en el suministro eléctrico se debe efectuar la descarga manual.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O31" s="320" t="s">
        <v>154</v>
      </c>
      <c r="P31" s="318"/>
    </row>
    <row r="32" spans="1:16" ht="408">
      <c r="A32" s="219" t="s">
        <v>1435</v>
      </c>
      <c r="B32" s="220" t="s">
        <v>762</v>
      </c>
      <c r="C32" s="329">
        <f>+'27Educa'!D8</f>
        <v>0</v>
      </c>
      <c r="D32" s="315"/>
      <c r="E32" s="315"/>
      <c r="F32" s="315"/>
      <c r="G32" s="241"/>
      <c r="H32" s="312">
        <f>+'27Educa'!F11</f>
        <v>0</v>
      </c>
      <c r="I32" s="312" t="str">
        <f>+'27Educa'!E12</f>
        <v>3. LÍNEA SOSTENIBILIDAD DEMOCRÁTICA - Programa 3.1.: La Educación Ambiental como proceso de transformación cultural para la sostenibilidad</v>
      </c>
      <c r="J32" s="312" t="str">
        <f>+'27Educa'!E13</f>
        <v>Teniendo en cuenta que para el primer semestre del año 2020 el Gobierno Nacional decretó el Estado de Emergencia Sanitaria en Colombia, como consecuencia de la declaratoria de pandemia por parte de la Organización Mundial de la Salud – OMS, debido a la propagación del virus Covid-19 fue necesario replantear las estrategias que permitieran desarrollar las actividades de una manera segura, para ello, la entidad  se encuentra analizando la metodologías adecuadas que permitan cumplir con el objetivo misional de la meta suscrita, de acuerdo con las restricciones asociadas a la emergencia declarada, que prohíben la aglomeración de personal y recomiendan medidas de distanciamiento social, común en la implementación de estos proyectos. Por lo anterior ha sido difícil el cumplimiento de la meta.</v>
      </c>
      <c r="K32" s="241"/>
      <c r="L32" s="330" t="str">
        <f t="shared" si="0"/>
        <v/>
      </c>
      <c r="M32" s="330" t="str">
        <f t="shared" si="1"/>
        <v>3. LÍNEA SOSTENIBILIDAD DEMOCRÁTICA - Programa 3.1.: La Educación Ambiental como proceso de transformación cultural para la sostenibilidad</v>
      </c>
      <c r="N32" s="331" t="str">
        <f t="shared" si="2"/>
        <v>Teniendo en cuenta que para el primer semestre del año 2020 el Gobierno Nacional decretó el Estado de Emergencia Sanitaria en Colombia, como consecuencia de la declaratoria de pandemia por parte de la Organización Mundial de la Salud – OMS, debido a la propagación del virus Covid-19 fue necesario replantear las estrategias que permitieran desarrollar las actividades de una manera segura, para ello, la entidad  se encuentra analizando la metodologías adecuadas que permitan cumplir con el objetivo misional de la meta suscrita, de acuerdo con las restricciones asociadas a la emergencia declarada, que prohíben la aglomeración de personal y recomiendan medidas de distanciamiento social, común en la implementación de estos proyectos. Por lo anterior ha sido difícil el cumplimiento de la meta.</v>
      </c>
      <c r="O32" s="320" t="s">
        <v>154</v>
      </c>
      <c r="P32" s="318"/>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800-000000000000}"/>
    <hyperlink ref="B7" location="'2PORH'!A1" display="Porcentaje de cuerpos de agua con planes de ordenamiento del recurso hídrico (PORH) adoptados" xr:uid="{00000000-0004-0000-0800-000001000000}"/>
    <hyperlink ref="B8" location="'3PSMV'!_Toc467769470" display="Porcentaje de Planes de Saneamiento y Manejo de Vertimientos (PSMV) con seguimiento" xr:uid="{00000000-0004-0000-0800-000002000000}"/>
    <hyperlink ref="B9" location="'4UsoAguas'!_Toc467769471" display="Porcentaje de cuerpos de agua con reglamentación del uso de las aguas" xr:uid="{00000000-0004-0000-0800-000003000000}"/>
    <hyperlink ref="B10" location="'5PUEAA'!_Toc467769472" display="Porcentaje de Programas de Uso Eficiente y Ahorro del Agua (PUEAA) con seguimiento" xr:uid="{00000000-0004-0000-0800-000004000000}"/>
    <hyperlink ref="B11" location="'6POMCASejec'!_Toc467769473" display="Porcentaje de Planes de Ordenación y Manejo de Cuencas (POMCAS), Planes de Manejo de Acuíferos (PMA) y Planes de Manejo de Microcuencas (PMM) en ejecución" xr:uid="{00000000-0004-0000-08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800-000006000000}"/>
    <hyperlink ref="B13" location="'8Suelo'!_Toc467769475" display="Porcentaje de suelos degradados en recuperación o rehabilitación" xr:uid="{00000000-0004-0000-0800-000007000000}"/>
    <hyperlink ref="B14" location="'9RUNAP'!_Toc467769476" display="Porcentaje de la superficie de áreas protegidas regionales declaradas, homologadas o recategorizadas, inscritas en el RUNAP" xr:uid="{00000000-0004-0000-0800-000008000000}"/>
    <hyperlink ref="B15" location="'10Paramos'!_Toc467769477" display="Porcentaje de páramos delimitados por el MADS, con zonificación y régimen de usos adoptados por la CAR" xr:uid="{00000000-0004-0000-0800-000009000000}"/>
    <hyperlink ref="B16" location="'11Forest'!_Toc467769478" display="Porcentaje de avance en la formulación del Plan de Ordenación Forestal" xr:uid="{00000000-0004-0000-0800-00000A000000}"/>
    <hyperlink ref="B17" location="'12PlanesAP'!_Toc467769479" display="Porcentaje de áreas protegidas con planes de manejo en ejecución" xr:uid="{00000000-0004-0000-0800-00000B000000}"/>
    <hyperlink ref="B18" location="'13Amenaz'!_Toc467769480" display="Porcentaje de especies amenazadas con medidas de conservación y manejo en ejecución" xr:uid="{00000000-0004-0000-0800-00000C000000}"/>
    <hyperlink ref="B19" location="'14Invasor'!_Toc467769481" display="Porcentaje de especies invasoras con medidas de prevención, control y manejo en ejecución" xr:uid="{00000000-0004-0000-0800-00000D000000}"/>
    <hyperlink ref="B20" location="'15Restaura'!_Toc467769482" display="Porcentaje de áreas de ecosistemas en restauración, rehabilitación y reforestación" xr:uid="{00000000-0004-0000-0800-00000E000000}"/>
    <hyperlink ref="B21" location="'16MIZC'!_Toc467769483" display="Implementación de acciones en manejo integrado de zonas costeras" xr:uid="{00000000-0004-0000-0800-00000F000000}"/>
    <hyperlink ref="B22" location="'17PGIRS'!_Toc467769484" display="Porcentaje de Planes de Gestión Integral de Residuos Sólidos (PGIRS) con seguimiento a metas de aprovechamiento" xr:uid="{00000000-0004-0000-0800-000010000000}"/>
    <hyperlink ref="B23" location="'18Sector'!_Toc467769485" display="Porcentaje de sectores con acompañamiento para la reconversión hacia sistemas sostenibles de producción" xr:uid="{00000000-0004-0000-0800-000011000000}"/>
    <hyperlink ref="B24" location="'19GAU'!_Toc467769486" display="Porcentaje de ejecución de acciones en Gestión Ambiental Urbana" xr:uid="{00000000-0004-0000-0800-000012000000}"/>
    <hyperlink ref="B25" location="'20Negoc'!_Toc467769487" display="Implementación del Programa Regional de Negocios Verdes por la autoridad ambiental" xr:uid="{00000000-0004-0000-0800-000013000000}"/>
    <hyperlink ref="B27" location="'22Autor'!_Toc467769489" display="Porcentaje de autorizaciones ambientales con seguimiento" xr:uid="{00000000-0004-0000-0800-000014000000}"/>
    <hyperlink ref="B28" location="'23Sanc'!_Toc467769490" display="Porcentaje de Procesos Sancionatorios Resueltos" xr:uid="{00000000-0004-0000-08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800-000016000000}"/>
    <hyperlink ref="B30" location="'25Redes'!_Toc467769492" display="Porcentaje de redes y estaciones de monitoreo en operación" xr:uid="{00000000-0004-0000-0800-000017000000}"/>
    <hyperlink ref="B31" location="'26SIAC'!_Toc467769493" display="Porcentaje de actualización y reporte de la información en el SIAC" xr:uid="{00000000-0004-0000-0800-000018000000}"/>
    <hyperlink ref="B32" location="'27Educa'!_Toc467769494" display="Ejecución de Acciones en Educación Ambiental" xr:uid="{00000000-0004-0000-0800-000019000000}"/>
    <hyperlink ref="B26" location="'21TiempoT'!_Toc467769488" display="Tiempo promedio de trámite para la resolución de autorizaciones ambientales otorgadas por la corporación" xr:uid="{00000000-0004-0000-0800-00001A000000}"/>
  </hyperlinks>
  <pageMargins left="0.7" right="0.7" top="0.75" bottom="0.75" header="0.3" footer="0.3"/>
  <pageSetup paperSize="178"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nortiz@claro.net.co</Manager>
  <Company>Derechos protegidos de autor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Edwin Giovanny Ortiz R.</dc:creator>
  <cp:keywords>Documento No Oficial</cp:keywords>
  <dc:description>Matriz elaborada por Néstor Ortiz Pérez, Consultor GIZ-MADS en el marco de PROMAC</dc:description>
  <cp:lastModifiedBy>Rafael E. Moreno Alvarez</cp:lastModifiedBy>
  <cp:revision/>
  <dcterms:created xsi:type="dcterms:W3CDTF">2016-11-26T19:57:08Z</dcterms:created>
  <dcterms:modified xsi:type="dcterms:W3CDTF">2021-04-06T21:36:41Z</dcterms:modified>
  <cp:category>Capacitación</cp:category>
  <cp:contentStatus>Preliminar</cp:contentStatus>
</cp:coreProperties>
</file>